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eee330f5c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562f528f93fd4348"/>
    <x:sheet xmlns:r="http://schemas.openxmlformats.org/officeDocument/2006/relationships" name="Tickets" sheetId="2" r:id="R5025b356798b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#,##0;(#,##0);&quot;-&quot;"/>
    <x:numFmt numFmtId="202" formatCode="0.0%"/>
    <x:numFmt numFmtId="203" formatCode="$#,##0;($#,##0);&quot;-&quot;"/>
    <x:numFmt numFmtId="204" formatCode="0.0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203" fontId="4" fillId="3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 wrapText="1"/>
    </x:xf>
    <x:xf numFmtId="202" fontId="4" fillId="3" borderId="0" xfId="0" applyNumberFormat="1" applyFont="1" applyFill="1" applyBorder="1" applyAlignment="1">
      <x:alignment horizontal="right" vertical="center" wrapText="1"/>
    </x:xf>
    <x:xf numFmtId="203" fontId="4" fillId="3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horizontal="right" vertical="center"/>
    </x:xf>
    <x:xf numFmtId="204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3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3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be958d8ed4a8f" /><Relationship Type="http://schemas.openxmlformats.org/officeDocument/2006/relationships/theme" Target="/xl/theme/theme1.xml" Id="Rcae723668f164a39" /><Relationship Type="http://schemas.openxmlformats.org/officeDocument/2006/relationships/sharedStrings" Target="/xl/sharedStrings.xml" Id="Ra4c916d116544660" /><Relationship Type="http://schemas.openxmlformats.org/officeDocument/2006/relationships/worksheet" Target="/xl/worksheets/sheet1.xml" Id="R562f528f93fd4348" /><Relationship Type="http://schemas.openxmlformats.org/officeDocument/2006/relationships/worksheet" Target="/xl/worksheets/sheet2.xml" Id="R5025b356798b45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Account SLA dashboard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Eligible tickets</x:v>
      </x:c>
      <x:c r="B6" s="2"/>
      <x:c r="C6" s="42" t="n">
        <x:f>COUNTIFS('Tickets'!$F$13:$F$32,"Yes")</x:f>
        <x:v>5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Unknown eligible outcomes</x:v>
      </x:c>
      <x:c r="B7" s="2"/>
      <x:c r="C7" s="42" t="n">
        <x:f>COUNTIFS('Tickets'!$K$13:$K$32,"Unknown",'Tickets'!$F$13:$F$32,"Yes")</x:f>
        <x:v>1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Completed known breaches</x:v>
      </x:c>
      <x:c r="B8" s="2"/>
      <x:c r="C8" s="42" t="n">
        <x:f>COUNTIFS('Tickets'!$K$13:$K$32,"Breach")</x:f>
        <x:v>2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Credit summary</x:v>
      </x:c>
      <x:c r="B9" s="2"/>
      <x:c r="C9" s="45" t="str">
        <x:f>IF(OR(C7&gt;0,COUNTIFS(J13:J15,"n.a.")&gt;0),"Review unknowns",SUM(J13:J15))</x:f>
        <x:v>Review unknowns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Customer ID</x:v>
      </x:c>
      <x:c r="B12" s="12" t="str">
        <x:v>Eligible tickets</x:v>
      </x:c>
      <x:c r="C12" s="12" t="str">
        <x:v>Met tickets</x:v>
      </x:c>
      <x:c r="D12" s="12" t="str">
        <x:v>Breaches</x:v>
      </x:c>
      <x:c r="E12" s="12" t="str">
        <x:v>Unknown outcomes</x:v>
      </x:c>
      <x:c r="F12" s="12" t="str">
        <x:v>Attainment</x:v>
      </x:c>
      <x:c r="G12" s="12" t="str">
        <x:v>Monthly fee (USD)</x:v>
      </x:c>
      <x:c r="H12" s="12" t="str">
        <x:v>Uncapped credit (USD)</x:v>
      </x:c>
      <x:c r="I12" s="12" t="str">
        <x:v>Cap rate</x:v>
      </x:c>
      <x:c r="J12" s="12" t="str">
        <x:v>Credit scenario (USD)</x:v>
      </x:c>
    </x:row>
    <x:row r="13" ht="15" hidden="0" customHeight="1">
      <x:c r="A13" s="13" t="str">
        <x:v>C-501</x:v>
      </x:c>
      <x:c r="B13" s="39" t="n">
        <x:f>COUNTIFS('Tickets'!$B$13:$B$32,A13,'Tickets'!$F$13:$F$32,"Yes")</x:f>
        <x:v>2</x:v>
      </x:c>
      <x:c r="C13" s="39" t="n">
        <x:f>COUNTIFS('Tickets'!$B$13:$B$32,A13,'Tickets'!$K$13:$K$32,"Met")</x:f>
        <x:v>1</x:v>
      </x:c>
      <x:c r="D13" s="39" t="n">
        <x:f>COUNTIFS('Tickets'!$B$13:$B$32,A13,'Tickets'!$K$13:$K$32,"Breach")</x:f>
        <x:v>1</x:v>
      </x:c>
      <x:c r="E13" s="39" t="n">
        <x:f>COUNTIFS('Tickets'!$B$13:$B$32,A13,'Tickets'!$K$13:$K$32,"Unknown")</x:f>
        <x:v>0</x:v>
      </x:c>
      <x:c r="F13" s="37" t="n">
        <x:f>IF(OR(B13=0,E13&gt;0),"n.a.",C13/B13)</x:f>
        <x:v>0.5</x:v>
      </x:c>
      <x:c r="G13" s="30" t="n">
        <x:f>IF(AND(COUNTIFS($A$26:$A$32,A13)&gt;0,COUNTIFS($A$26:$A$32,A13,$H$26:$H$32,"Complete")=COUNTIFS($A$26:$A$32,A13)),INDEX($E$26:$E$32,MATCH(A13,$A$26:$A$32,0)),"n.a.")</x:f>
        <x:v>10000</x:v>
      </x:c>
      <x:c r="H13" s="30" t="n">
        <x:f>SUMIFS('Tickets'!$N$13:$N$32,'Tickets'!$B$13:$B$32,A13)</x:f>
        <x:v>200</x:v>
      </x:c>
      <x:c r="I13" s="37" t="n">
        <x:f>IF(AND(COUNTIFS($A$26:$A$32,A13)&gt;0,COUNTIFS($A$26:$A$32,A13,$H$26:$H$32,"Complete")=COUNTIFS($A$26:$A$32,A13)),INDEX($G$26:$G$32,MATCH(A13,$A$26:$A$32,0)),"n.a.")</x:f>
        <x:v>0.1</x:v>
      </x:c>
      <x:c r="J13" s="30" t="n">
        <x:f>IF(OR(E13&gt;0,NOT(ISNUMBER(G13)),NOT(ISNUMBER(I13))),"n.a.",MIN(H13,G13*I13))</x:f>
        <x:v>200</x:v>
      </x:c>
    </x:row>
    <x:row r="14" ht="15" hidden="0" customHeight="1">
      <x:c r="A14" s="13" t="str">
        <x:v>C-502</x:v>
      </x:c>
      <x:c r="B14" s="39" t="n">
        <x:f>COUNTIFS('Tickets'!$B$13:$B$32,A14,'Tickets'!$F$13:$F$32,"Yes")</x:f>
        <x:v>2</x:v>
      </x:c>
      <x:c r="C14" s="39" t="n">
        <x:f>COUNTIFS('Tickets'!$B$13:$B$32,A14,'Tickets'!$K$13:$K$32,"Met")</x:f>
        <x:v>1</x:v>
      </x:c>
      <x:c r="D14" s="39" t="n">
        <x:f>COUNTIFS('Tickets'!$B$13:$B$32,A14,'Tickets'!$K$13:$K$32,"Breach")</x:f>
        <x:v>1</x:v>
      </x:c>
      <x:c r="E14" s="39" t="n">
        <x:f>COUNTIFS('Tickets'!$B$13:$B$32,A14,'Tickets'!$K$13:$K$32,"Unknown")</x:f>
        <x:v>0</x:v>
      </x:c>
      <x:c r="F14" s="37" t="n">
        <x:f>IF(OR(B14=0,E14&gt;0),"n.a.",C14/B14)</x:f>
        <x:v>0.5</x:v>
      </x:c>
      <x:c r="G14" s="30" t="n">
        <x:f>IF(AND(COUNTIFS($A$26:$A$32,A14)&gt;0,COUNTIFS($A$26:$A$32,A14,$H$26:$H$32,"Complete")=COUNTIFS($A$26:$A$32,A14)),INDEX($E$26:$E$32,MATCH(A14,$A$26:$A$32,0)),"n.a.")</x:f>
        <x:v>6000</x:v>
      </x:c>
      <x:c r="H14" s="30" t="n">
        <x:f>SUMIFS('Tickets'!$N$13:$N$32,'Tickets'!$B$13:$B$32,A14)</x:f>
        <x:v>60</x:v>
      </x:c>
      <x:c r="I14" s="37" t="n">
        <x:f>IF(AND(COUNTIFS($A$26:$A$32,A14)&gt;0,COUNTIFS($A$26:$A$32,A14,$H$26:$H$32,"Complete")=COUNTIFS($A$26:$A$32,A14)),INDEX($G$26:$G$32,MATCH(A14,$A$26:$A$32,0)),"n.a.")</x:f>
        <x:v>0.05</x:v>
      </x:c>
      <x:c r="J14" s="30" t="n">
        <x:f>IF(OR(E14&gt;0,NOT(ISNUMBER(G14)),NOT(ISNUMBER(I14))),"n.a.",MIN(H14,G14*I14))</x:f>
        <x:v>60</x:v>
      </x:c>
    </x:row>
    <x:row r="15" ht="15" hidden="0" customHeight="1">
      <x:c r="A15" s="13" t="str">
        <x:v>C-503</x:v>
      </x:c>
      <x:c r="B15" s="39" t="n">
        <x:f>COUNTIFS('Tickets'!$B$13:$B$32,A15,'Tickets'!$F$13:$F$32,"Yes")</x:f>
        <x:v>1</x:v>
      </x:c>
      <x:c r="C15" s="39" t="n">
        <x:f>COUNTIFS('Tickets'!$B$13:$B$32,A15,'Tickets'!$K$13:$K$32,"Met")</x:f>
        <x:v>0</x:v>
      </x:c>
      <x:c r="D15" s="39" t="n">
        <x:f>COUNTIFS('Tickets'!$B$13:$B$32,A15,'Tickets'!$K$13:$K$32,"Breach")</x:f>
        <x:v>0</x:v>
      </x:c>
      <x:c r="E15" s="39" t="n">
        <x:f>COUNTIFS('Tickets'!$B$13:$B$32,A15,'Tickets'!$K$13:$K$32,"Unknown")</x:f>
        <x:v>1</x:v>
      </x:c>
      <x:c r="F15" s="37" t="str">
        <x:f>IF(OR(B15=0,E15&gt;0),"n.a.",C15/B15)</x:f>
        <x:v>n.a.</x:v>
      </x:c>
      <x:c r="G15" s="30" t="n">
        <x:f>IF(AND(COUNTIFS($A$26:$A$32,A15)&gt;0,COUNTIFS($A$26:$A$32,A15,$H$26:$H$32,"Complete")=COUNTIFS($A$26:$A$32,A15)),INDEX($E$26:$E$32,MATCH(A15,$A$26:$A$32,0)),"n.a.")</x:f>
        <x:v>8000</x:v>
      </x:c>
      <x:c r="H15" s="30" t="n">
        <x:f>SUMIFS('Tickets'!$N$13:$N$32,'Tickets'!$B$13:$B$32,A15)</x:f>
        <x:v>0</x:v>
      </x:c>
      <x:c r="I15" s="37" t="n">
        <x:f>IF(AND(COUNTIFS($A$26:$A$32,A15)&gt;0,COUNTIFS($A$26:$A$32,A15,$H$26:$H$32,"Complete")=COUNTIFS($A$26:$A$32,A15)),INDEX($G$26:$G$32,MATCH(A15,$A$26:$A$32,0)),"n.a.")</x:f>
        <x:v>0.1</x:v>
      </x:c>
      <x:c r="J15" s="30" t="str">
        <x:f>IF(OR(E15&gt;0,NOT(ISNUMBER(G15)),NOT(ISNUMBER(I15))),"n.a.",MIN(H15,G15*I15))</x:f>
        <x:v>n.a.</x:v>
      </x:c>
    </x:row>
    <x:row r="16" ht="25" customHeight="1">
      <x:c r="A16" s="13"/>
      <x:c r="B16" s="15"/>
      <x:c r="C16" s="15"/>
      <x:c r="D16" s="15"/>
      <x:c r="E16" s="15"/>
      <x:c r="F16" s="17"/>
      <x:c r="G16" s="19"/>
      <x:c r="H16" s="19"/>
      <x:c r="I16" s="17"/>
      <x:c r="J16" s="19"/>
    </x:row>
    <x:row r="17" ht="25" customHeight="1">
      <x:c r="A17" s="13"/>
      <x:c r="B17" s="15"/>
      <x:c r="C17" s="15"/>
      <x:c r="D17" s="15"/>
      <x:c r="E17" s="15"/>
      <x:c r="F17" s="17"/>
      <x:c r="G17" s="19"/>
      <x:c r="H17" s="19"/>
      <x:c r="I17" s="17"/>
      <x:c r="J17" s="19"/>
    </x:row>
    <x:row r="18" ht="25" customHeight="1">
      <x:c r="A18" s="13"/>
      <x:c r="B18" s="15"/>
      <x:c r="C18" s="15"/>
      <x:c r="D18" s="15"/>
      <x:c r="E18" s="15"/>
      <x:c r="F18" s="17"/>
      <x:c r="G18" s="19"/>
      <x:c r="H18" s="19"/>
      <x:c r="I18" s="17"/>
      <x:c r="J18" s="19"/>
    </x:row>
    <x:row r="19" ht="25" customHeight="1">
      <x:c r="A19" s="13"/>
      <x:c r="B19" s="15"/>
      <x:c r="C19" s="15"/>
      <x:c r="D19" s="15"/>
      <x:c r="E19" s="15"/>
      <x:c r="F19" s="17"/>
      <x:c r="G19" s="19"/>
      <x:c r="H19" s="19"/>
      <x:c r="I19" s="17"/>
      <x:c r="J19" s="19"/>
    </x:row>
    <x:row r="20" ht="25" customHeight="1">
      <x:c r="A20" s="13"/>
      <x:c r="B20" s="15"/>
      <x:c r="C20" s="15"/>
      <x:c r="D20" s="15"/>
      <x:c r="E20" s="15"/>
      <x:c r="F20" s="17"/>
      <x:c r="G20" s="19"/>
      <x:c r="H20" s="19"/>
      <x:c r="I20" s="17"/>
      <x:c r="J20" s="19"/>
    </x:row>
    <x:row r="21" ht="25" customHeight="1">
      <x:c r="A21" s="13"/>
      <x:c r="B21" s="15"/>
      <x:c r="C21" s="15"/>
      <x:c r="D21" s="15"/>
      <x:c r="E21" s="15"/>
      <x:c r="F21" s="17"/>
      <x:c r="G21" s="19"/>
      <x:c r="H21" s="19"/>
      <x:c r="I21" s="17"/>
      <x:c r="J21" s="19"/>
    </x:row>
    <x:row r="22" ht="25" customHeight="1">
      <x:c r="A22" s="13"/>
      <x:c r="B22" s="15"/>
      <x:c r="C22" s="15"/>
      <x:c r="D22" s="15"/>
      <x:c r="E22" s="15"/>
      <x:c r="F22" s="17"/>
      <x:c r="G22" s="19"/>
      <x:c r="H22" s="19"/>
      <x:c r="I22" s="17"/>
      <x:c r="J22" s="19"/>
    </x:row>
    <x:row r="23" ht="25" customHeight="1">
      <x:c r="A23" s="13"/>
      <x:c r="B23" s="15"/>
      <x:c r="C23" s="15"/>
      <x:c r="D23" s="15"/>
      <x:c r="E23" s="15"/>
      <x:c r="F23" s="17"/>
      <x:c r="G23" s="19"/>
      <x:c r="H23" s="19"/>
      <x:c r="I23" s="17"/>
      <x:c r="J23" s="19"/>
    </x:row>
    <x:row r="24" ht="25" customHeight="1">
      <x:c r="A24" s="13"/>
      <x:c r="B24" s="15"/>
      <x:c r="C24" s="15"/>
      <x:c r="D24" s="15"/>
      <x:c r="E24" s="15"/>
      <x:c r="F24" s="17"/>
      <x:c r="G24" s="19"/>
      <x:c r="H24" s="19"/>
      <x:c r="I24" s="17"/>
      <x:c r="J24" s="19"/>
    </x:row>
    <x:row r="25" ht="44" customHeight="1">
      <x:c r="A25" s="11" t="str">
        <x:v>Customer ID</x:v>
      </x:c>
      <x:c r="B25" s="27" t="str">
        <x:v>Priority</x:v>
      </x:c>
      <x:c r="C25" s="27" t="str">
        <x:v>Response target (h)</x:v>
      </x:c>
      <x:c r="D25" s="27" t="str">
        <x:v>Resolution target (h)</x:v>
      </x:c>
      <x:c r="E25" s="27" t="str">
        <x:v>Monthly fee (USD)</x:v>
      </x:c>
      <x:c r="F25" s="28" t="str">
        <x:v>Credit per breach</x:v>
      </x:c>
      <x:c r="G25" s="29" t="str">
        <x:v>Monthly cap rate</x:v>
      </x:c>
      <x:c r="H25" s="29" t="str">
        <x:v>Target status</x:v>
      </x:c>
      <x:c r="I25" s="17"/>
      <x:c r="J25" s="19"/>
    </x:row>
    <x:row r="26" ht="25" customHeight="1">
      <x:c r="A26" s="13" t="str">
        <x:v>C-501</x:v>
      </x:c>
      <x:c r="B26" s="15" t="str">
        <x:v>P1</x:v>
      </x:c>
      <x:c r="C26" s="15" t="n">
        <x:v>1</x:v>
      </x:c>
      <x:c r="D26" s="15" t="n">
        <x:v>8</x:v>
      </x:c>
      <x:c r="E26" s="19" t="n">
        <x:v>10000</x:v>
      </x:c>
      <x:c r="F26" s="17" t="n">
        <x:v>0.02</x:v>
      </x:c>
      <x:c r="G26" s="17" t="n">
        <x:v>0.1</x:v>
      </x:c>
      <x:c r="H26" s="30" t="str">
        <x:f>IF(ISBLANK(A26),"",IF(OR(ISBLANK(B26),NOT(ISNUMBER(C26)),NOT(ISNUMBER(D26)),NOT(ISNUMBER(E26)),NOT(ISNUMBER(F26)),NOT(ISNUMBER(G26)),C26&lt;0,D26&lt;0,E26&lt;0,F26&lt;0,F26&gt;1,G26&lt;0,G26&gt;1,COUNTIFS($A$26:$A$32,A26,$E$26:$E$32,E26)&lt;&gt;COUNTIFS($A$26:$A$32,A26),COUNTIFS($A$26:$A$32,A26,$G$26:$G$32,G26)&lt;&gt;COUNTIFS($A$26:$A$32,A26)),"Invalid","Complete"))</x:f>
        <x:v>Complete</x:v>
      </x:c>
      <x:c r="I26" s="17"/>
      <x:c r="J26" s="19"/>
    </x:row>
    <x:row r="27" ht="25" customHeight="1">
      <x:c r="A27" s="13" t="str">
        <x:v>C-501</x:v>
      </x:c>
      <x:c r="B27" s="15" t="str">
        <x:v>P2</x:v>
      </x:c>
      <x:c r="C27" s="15" t="n">
        <x:v>4</x:v>
      </x:c>
      <x:c r="D27" s="15" t="n">
        <x:v>24</x:v>
      </x:c>
      <x:c r="E27" s="19" t="n">
        <x:v>10000</x:v>
      </x:c>
      <x:c r="F27" s="17" t="n">
        <x:v>0.02</x:v>
      </x:c>
      <x:c r="G27" s="17" t="n">
        <x:v>0.1</x:v>
      </x:c>
      <x:c r="H27" s="30" t="str">
        <x:f>IF(ISBLANK(A27),"",IF(OR(ISBLANK(B27),NOT(ISNUMBER(C27)),NOT(ISNUMBER(D27)),NOT(ISNUMBER(E27)),NOT(ISNUMBER(F27)),NOT(ISNUMBER(G27)),C27&lt;0,D27&lt;0,E27&lt;0,F27&lt;0,F27&gt;1,G27&lt;0,G27&gt;1,COUNTIFS($A$26:$A$32,A27,$E$26:$E$32,E27)&lt;&gt;COUNTIFS($A$26:$A$32,A27),COUNTIFS($A$26:$A$32,A27,$G$26:$G$32,G27)&lt;&gt;COUNTIFS($A$26:$A$32,A27)),"Invalid","Complete"))</x:f>
        <x:v>Complete</x:v>
      </x:c>
      <x:c r="I27" s="17"/>
      <x:c r="J27" s="19"/>
    </x:row>
    <x:row r="28" ht="25" customHeight="1">
      <x:c r="A28" s="13" t="str">
        <x:v>C-502</x:v>
      </x:c>
      <x:c r="B28" s="15" t="str">
        <x:v>P1</x:v>
      </x:c>
      <x:c r="C28" s="15" t="n">
        <x:v>2</x:v>
      </x:c>
      <x:c r="D28" s="15" t="n">
        <x:v>12</x:v>
      </x:c>
      <x:c r="E28" s="19" t="n">
        <x:v>6000</x:v>
      </x:c>
      <x:c r="F28" s="17" t="n">
        <x:v>0.01</x:v>
      </x:c>
      <x:c r="G28" s="17" t="n">
        <x:v>0.05</x:v>
      </x:c>
      <x:c r="H28" s="30" t="str">
        <x:f>IF(ISBLANK(A28),"",IF(OR(ISBLANK(B28),NOT(ISNUMBER(C28)),NOT(ISNUMBER(D28)),NOT(ISNUMBER(E28)),NOT(ISNUMBER(F28)),NOT(ISNUMBER(G28)),C28&lt;0,D28&lt;0,E28&lt;0,F28&lt;0,F28&gt;1,G28&lt;0,G28&gt;1,COUNTIFS($A$26:$A$32,A28,$E$26:$E$32,E28)&lt;&gt;COUNTIFS($A$26:$A$32,A28),COUNTIFS($A$26:$A$32,A28,$G$26:$G$32,G28)&lt;&gt;COUNTIFS($A$26:$A$32,A28)),"Invalid","Complete"))</x:f>
        <x:v>Complete</x:v>
      </x:c>
      <x:c r="I28" s="17"/>
      <x:c r="J28" s="19"/>
    </x:row>
    <x:row r="29" ht="25" customHeight="1">
      <x:c r="A29" s="13" t="str">
        <x:v>C-502</x:v>
      </x:c>
      <x:c r="B29" s="15" t="str">
        <x:v>P2</x:v>
      </x:c>
      <x:c r="C29" s="15" t="n">
        <x:v>8</x:v>
      </x:c>
      <x:c r="D29" s="15" t="n">
        <x:v>48</x:v>
      </x:c>
      <x:c r="E29" s="19" t="n">
        <x:v>6000</x:v>
      </x:c>
      <x:c r="F29" s="17" t="n">
        <x:v>0.01</x:v>
      </x:c>
      <x:c r="G29" s="17" t="n">
        <x:v>0.05</x:v>
      </x:c>
      <x:c r="H29" s="30" t="str">
        <x:f>IF(ISBLANK(A29),"",IF(OR(ISBLANK(B29),NOT(ISNUMBER(C29)),NOT(ISNUMBER(D29)),NOT(ISNUMBER(E29)),NOT(ISNUMBER(F29)),NOT(ISNUMBER(G29)),C29&lt;0,D29&lt;0,E29&lt;0,F29&lt;0,F29&gt;1,G29&lt;0,G29&gt;1,COUNTIFS($A$26:$A$32,A29,$E$26:$E$32,E29)&lt;&gt;COUNTIFS($A$26:$A$32,A29),COUNTIFS($A$26:$A$32,A29,$G$26:$G$32,G29)&lt;&gt;COUNTIFS($A$26:$A$32,A29)),"Invalid","Complete"))</x:f>
        <x:v>Complete</x:v>
      </x:c>
      <x:c r="I29" s="17"/>
      <x:c r="J29" s="19"/>
    </x:row>
    <x:row r="30" ht="25" customHeight="1">
      <x:c r="A30" s="13" t="str">
        <x:v>C-503</x:v>
      </x:c>
      <x:c r="B30" s="15" t="str">
        <x:v>P1</x:v>
      </x:c>
      <x:c r="C30" s="15" t="n">
        <x:v>1</x:v>
      </x:c>
      <x:c r="D30" s="15" t="n">
        <x:v>8</x:v>
      </x:c>
      <x:c r="E30" s="19" t="n">
        <x:v>8000</x:v>
      </x:c>
      <x:c r="F30" s="17" t="n">
        <x:v>0.02</x:v>
      </x:c>
      <x:c r="G30" s="17" t="n">
        <x:v>0.1</x:v>
      </x:c>
      <x:c r="H30" s="30" t="str">
        <x:f>IF(ISBLANK(A30),"",IF(OR(ISBLANK(B30),NOT(ISNUMBER(C30)),NOT(ISNUMBER(D30)),NOT(ISNUMBER(E30)),NOT(ISNUMBER(F30)),NOT(ISNUMBER(G30)),C30&lt;0,D30&lt;0,E30&lt;0,F30&lt;0,F30&gt;1,G30&lt;0,G30&gt;1,COUNTIFS($A$26:$A$32,A30,$E$26:$E$32,E30)&lt;&gt;COUNTIFS($A$26:$A$32,A30),COUNTIFS($A$26:$A$32,A30,$G$26:$G$32,G30)&lt;&gt;COUNTIFS($A$26:$A$32,A30)),"Invalid","Complete"))</x:f>
        <x:v>Complete</x:v>
      </x:c>
      <x:c r="I30" s="17"/>
      <x:c r="J30" s="19"/>
    </x:row>
    <x:row r="31" ht="25" customHeight="1">
      <x:c r="A31" s="13"/>
      <x:c r="B31" s="15"/>
      <x:c r="C31" s="15"/>
      <x:c r="D31" s="15"/>
      <x:c r="E31" s="19"/>
      <x:c r="F31" s="17"/>
      <x:c r="G31" s="17"/>
      <x:c r="H31" s="30" t="str">
        <x:f>IF(ISBLANK(A31),"",IF(OR(ISBLANK(B31),NOT(ISNUMBER(C31)),NOT(ISNUMBER(D31)),NOT(ISNUMBER(E31)),NOT(ISNUMBER(F31)),NOT(ISNUMBER(G31)),C31&lt;0,D31&lt;0,E31&lt;0,F31&lt;0,F31&gt;1,G31&lt;0,G31&gt;1,COUNTIFS($A$26:$A$32,A31,$E$26:$E$32,E31)&lt;&gt;COUNTIFS($A$26:$A$32,A31),COUNTIFS($A$26:$A$32,A31,$G$26:$G$32,G31)&lt;&gt;COUNTIFS($A$26:$A$32,A31)),"Invalid","Complete"))</x:f>
      </x:c>
      <x:c r="I31" s="17"/>
      <x:c r="J31" s="19"/>
    </x:row>
    <x:row r="32" ht="25" customHeight="1">
      <x:c r="A32" s="13"/>
      <x:c r="B32" s="15"/>
      <x:c r="C32" s="15"/>
      <x:c r="D32" s="15"/>
      <x:c r="E32" s="19"/>
      <x:c r="F32" s="17"/>
      <x:c r="G32" s="17"/>
      <x:c r="H32" s="30" t="str">
        <x:f>IF(ISBLANK(A32),"",IF(OR(ISBLANK(B32),NOT(ISNUMBER(C32)),NOT(ISNUMBER(D32)),NOT(ISNUMBER(E32)),NOT(ISNUMBER(F32)),NOT(ISNUMBER(G32)),C32&lt;0,D32&lt;0,E32&lt;0,F32&lt;0,F32&gt;1,G32&lt;0,G32&gt;1,COUNTIFS($A$26:$A$32,A32,$E$26:$E$32,E32)&lt;&gt;COUNTIFS($A$26:$A$32,A32),COUNTIFS($A$26:$A$32,A32,$G$26:$G$32,G32)&lt;&gt;COUNTIFS($A$26:$A$32,A32)),"Invalid","Complete"))</x:f>
      </x:c>
      <x:c r="I32" s="17"/>
      <x:c r="J32" s="19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0" t="str">
        <x:v>Completed eligible tickets, September 2026. Measured elapsed hours already follow the agreed reporting policy.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0" t="str">
        <x:v>Credit scenario uses a per-breach rate and monthly cap. Review the applicable clause before issuing any credit.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H26:H32">
    <x:cfRule type="containsText" dxfId="0" priority="1" operator="containsText" text="Invalid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8" hidden="0" customWidth="1"/>
    <x:col min="12" max="12" width="22" hidden="0" customWidth="1"/>
    <x:col min="13" max="13" width="22" hidden="0" customWidth="1"/>
    <x:col min="14" max="14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4" t="str">
        <x:v>Ticket evidence and results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2" t="str">
        <x:v>Ticket records</x:v>
      </x:c>
      <x:c r="B6" s="2"/>
      <x:c r="C6" s="42" t="n">
        <x:f>COUNTA($A$13:$A$32)</x:f>
        <x:v>6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 t="str">
        <x:v>Known breaches</x:v>
      </x:c>
      <x:c r="B7" s="2"/>
      <x:c r="C7" s="42" t="n">
        <x:f>COUNTIFS($K$13:$K$32,"Breach")</x:f>
        <x:v>2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2" t="str">
        <x:v>Unknown outcomes</x:v>
      </x:c>
      <x:c r="B8" s="2"/>
      <x:c r="C8" s="42" t="n">
        <x:f>COUNTIFS($K$13:$K$32,"Unknown")</x:f>
        <x:v>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5" customHeight="1">
      <x:c r="A9" s="2" t="str">
        <x:v>Excluded tickets</x:v>
      </x:c>
      <x:c r="B9" s="2"/>
      <x:c r="C9" s="42" t="n">
        <x:f>COUNTIFS($K$13:$K$32,"Excluded")</x:f>
        <x:v>1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8" customHeight="1">
      <x:c r="A12" s="12" t="str">
        <x:v>Ticket ID</x:v>
      </x:c>
      <x:c r="B12" s="12" t="str">
        <x:v>Customer ID</x:v>
      </x:c>
      <x:c r="C12" s="12" t="str">
        <x:v>Priority</x:v>
      </x:c>
      <x:c r="D12" s="12" t="str">
        <x:v>Response hours</x:v>
      </x:c>
      <x:c r="E12" s="12" t="str">
        <x:v>Resolution hours</x:v>
      </x:c>
      <x:c r="F12" s="12" t="str">
        <x:v>Eligible?</x:v>
      </x:c>
      <x:c r="G12" s="12" t="str">
        <x:v>Reason/reference</x:v>
      </x:c>
      <x:c r="H12" s="12" t="str">
        <x:v>Target matches</x:v>
      </x:c>
      <x:c r="I12" s="12" t="str">
        <x:v>Response target (h)</x:v>
      </x:c>
      <x:c r="J12" s="12" t="str">
        <x:v>Resolution target (h)</x:v>
      </x:c>
      <x:c r="K12" s="12" t="str">
        <x:v>Outcome</x:v>
      </x:c>
      <x:c r="L12" s="12" t="str">
        <x:v>Credit rate</x:v>
      </x:c>
      <x:c r="M12" s="12" t="str">
        <x:v>Monthly fee (USD)</x:v>
      </x:c>
      <x:c r="N12" s="12" t="str">
        <x:v>Uncapped credit (USD)</x:v>
      </x:c>
    </x:row>
    <x:row r="13" ht="15" hidden="0" customHeight="1">
      <x:c r="A13" s="13" t="str">
        <x:v>T-01</x:v>
      </x:c>
      <x:c r="B13" s="13" t="str">
        <x:v>C-501</x:v>
      </x:c>
      <x:c r="C13" s="13" t="str">
        <x:v>P1</x:v>
      </x:c>
      <x:c r="D13" s="33" t="n">
        <x:v>0.5</x:v>
      </x:c>
      <x:c r="E13" s="33" t="n">
        <x:v>6</x:v>
      </x:c>
      <x:c r="F13" s="13" t="str">
        <x:v>Yes</x:v>
      </x:c>
      <x:c r="G13" s="13" t="str">
        <x:v>SRC-01</x:v>
      </x:c>
      <x:c r="H13" s="31" t="n">
        <x:f>IF(ISBLANK(A13),"",COUNTIFS('Dashboard'!$A$26:$A$32,B13,'Dashboard'!$B$26:$B$32,C13))</x:f>
        <x:v>1</x:v>
      </x:c>
      <x:c r="I13" s="35" t="n">
        <x:f>IF(ISBLANK(A13),"",IF(AND(H13=1,COUNTIFS('Dashboard'!$A$26:$A$32,B13,'Dashboard'!$B$26:$B$32,C13,'Dashboard'!$H$26:$H$32,"Complete")=1),SUMIFS('Dashboard'!$C$26:$C$32,'Dashboard'!$A$26:$A$32,B13,'Dashboard'!$B$26:$B$32,C13),"n.a."))</x:f>
        <x:v>1</x:v>
      </x:c>
      <x:c r="J13" s="35" t="n">
        <x:f>IF(ISBLANK(A13),"",IF(AND(H13=1,COUNTIFS('Dashboard'!$A$26:$A$32,B13,'Dashboard'!$B$26:$B$32,C13,'Dashboard'!$H$26:$H$32,"Complete")=1),SUMIFS('Dashboard'!$D$26:$D$32,'Dashboard'!$A$26:$A$32,B13,'Dashboard'!$B$26:$B$32,C13),"n.a."))</x:f>
        <x:v>8</x:v>
      </x:c>
      <x:c r="K13" s="31" t="str">
        <x:f>IF(ISBLANK(A13),"",IF(F13="No","Excluded",IF(OR(F13&lt;&gt;"Yes",COUNTIFS($A$13:$A$32,A13)&lt;&gt;1,COUNTIFS('Dashboard'!$A$13:$A$15,B13)&lt;&gt;1,H13&lt;&gt;1,ISBLANK(G13),ISBLANK(D13),ISBLANK(E13),NOT(ISNUMBER(D13)),NOT(ISNUMBER(E13)),NOT(ISNUMBER(I13)),NOT(ISNUMBER(J13)),D13&lt;0,E13&lt;0),"Unknown",IF(AND(D13&lt;=I13,E13&lt;=J13),"Met","Breach"))))</x:f>
        <x:v>Met</x:v>
      </x:c>
      <x:c r="L13" s="37" t="n">
        <x:f>IF(ISBLANK(A13),"",IF(AND(H13=1,COUNTIFS('Dashboard'!$A$26:$A$32,B13,'Dashboard'!$B$26:$B$32,C13,'Dashboard'!$H$26:$H$32,"Complete")=1),SUMIFS('Dashboard'!$F$26:$F$32,'Dashboard'!$A$26:$A$32,B13,'Dashboard'!$B$26:$B$32,C13),"n.a."))</x:f>
        <x:v>0.02</x:v>
      </x:c>
      <x:c r="M13" s="30" t="n">
        <x:f>IF(ISBLANK(A13),"",IF(AND(H13=1,COUNTIFS('Dashboard'!$A$26:$A$32,B13,'Dashboard'!$B$26:$B$32,C13,'Dashboard'!$H$26:$H$32,"Complete")=1),SUMIFS('Dashboard'!$E$26:$E$32,'Dashboard'!$A$26:$A$32,B13,'Dashboard'!$B$26:$B$32,C13),"n.a."))</x:f>
        <x:v>10000</x:v>
      </x:c>
      <x:c r="N13" s="30" t="n">
        <x:f>IF(ISBLANK(A13),"",IF(K13="Breach",L13*M13,0))</x:f>
        <x:v>0</x:v>
      </x:c>
    </x:row>
    <x:row r="14" ht="15" hidden="0" customHeight="1">
      <x:c r="A14" s="13" t="str">
        <x:v>T-02</x:v>
      </x:c>
      <x:c r="B14" s="13" t="str">
        <x:v>C-501</x:v>
      </x:c>
      <x:c r="C14" s="13" t="str">
        <x:v>P1</x:v>
      </x:c>
      <x:c r="D14" s="33" t="n">
        <x:v>2</x:v>
      </x:c>
      <x:c r="E14" s="33" t="n">
        <x:v>7</x:v>
      </x:c>
      <x:c r="F14" s="13" t="str">
        <x:v>Yes</x:v>
      </x:c>
      <x:c r="G14" s="13" t="str">
        <x:v>SRC-02</x:v>
      </x:c>
      <x:c r="H14" s="31" t="n">
        <x:f>IF(ISBLANK(A14),"",COUNTIFS('Dashboard'!$A$26:$A$32,B14,'Dashboard'!$B$26:$B$32,C14))</x:f>
        <x:v>1</x:v>
      </x:c>
      <x:c r="I14" s="35" t="n">
        <x:f>IF(ISBLANK(A14),"",IF(AND(H14=1,COUNTIFS('Dashboard'!$A$26:$A$32,B14,'Dashboard'!$B$26:$B$32,C14,'Dashboard'!$H$26:$H$32,"Complete")=1),SUMIFS('Dashboard'!$C$26:$C$32,'Dashboard'!$A$26:$A$32,B14,'Dashboard'!$B$26:$B$32,C14),"n.a."))</x:f>
        <x:v>1</x:v>
      </x:c>
      <x:c r="J14" s="35" t="n">
        <x:f>IF(ISBLANK(A14),"",IF(AND(H14=1,COUNTIFS('Dashboard'!$A$26:$A$32,B14,'Dashboard'!$B$26:$B$32,C14,'Dashboard'!$H$26:$H$32,"Complete")=1),SUMIFS('Dashboard'!$D$26:$D$32,'Dashboard'!$A$26:$A$32,B14,'Dashboard'!$B$26:$B$32,C14),"n.a."))</x:f>
        <x:v>8</x:v>
      </x:c>
      <x:c r="K14" s="31" t="str">
        <x:f>IF(ISBLANK(A14),"",IF(F14="No","Excluded",IF(OR(F14&lt;&gt;"Yes",COUNTIFS($A$13:$A$32,A14)&lt;&gt;1,COUNTIFS('Dashboard'!$A$13:$A$15,B14)&lt;&gt;1,H14&lt;&gt;1,ISBLANK(G14),ISBLANK(D14),ISBLANK(E14),NOT(ISNUMBER(D14)),NOT(ISNUMBER(E14)),NOT(ISNUMBER(I14)),NOT(ISNUMBER(J14)),D14&lt;0,E14&lt;0),"Unknown",IF(AND(D14&lt;=I14,E14&lt;=J14),"Met","Breach"))))</x:f>
        <x:v>Breach</x:v>
      </x:c>
      <x:c r="L14" s="37" t="n">
        <x:f>IF(ISBLANK(A14),"",IF(AND(H14=1,COUNTIFS('Dashboard'!$A$26:$A$32,B14,'Dashboard'!$B$26:$B$32,C14,'Dashboard'!$H$26:$H$32,"Complete")=1),SUMIFS('Dashboard'!$F$26:$F$32,'Dashboard'!$A$26:$A$32,B14,'Dashboard'!$B$26:$B$32,C14),"n.a."))</x:f>
        <x:v>0.02</x:v>
      </x:c>
      <x:c r="M14" s="30" t="n">
        <x:f>IF(ISBLANK(A14),"",IF(AND(H14=1,COUNTIFS('Dashboard'!$A$26:$A$32,B14,'Dashboard'!$B$26:$B$32,C14,'Dashboard'!$H$26:$H$32,"Complete")=1),SUMIFS('Dashboard'!$E$26:$E$32,'Dashboard'!$A$26:$A$32,B14,'Dashboard'!$B$26:$B$32,C14),"n.a."))</x:f>
        <x:v>10000</x:v>
      </x:c>
      <x:c r="N14" s="30" t="n">
        <x:f>IF(ISBLANK(A14),"",IF(K14="Breach",L14*M14,0))</x:f>
        <x:v>200</x:v>
      </x:c>
    </x:row>
    <x:row r="15" ht="15" hidden="0" customHeight="1">
      <x:c r="A15" s="13" t="str">
        <x:v>T-03</x:v>
      </x:c>
      <x:c r="B15" s="13" t="str">
        <x:v>C-502</x:v>
      </x:c>
      <x:c r="C15" s="13" t="str">
        <x:v>P1</x:v>
      </x:c>
      <x:c r="D15" s="33" t="n">
        <x:v>1</x:v>
      </x:c>
      <x:c r="E15" s="33" t="n">
        <x:v>10</x:v>
      </x:c>
      <x:c r="F15" s="13" t="str">
        <x:v>Yes</x:v>
      </x:c>
      <x:c r="G15" s="13" t="str">
        <x:v>SRC-03</x:v>
      </x:c>
      <x:c r="H15" s="31" t="n">
        <x:f>IF(ISBLANK(A15),"",COUNTIFS('Dashboard'!$A$26:$A$32,B15,'Dashboard'!$B$26:$B$32,C15))</x:f>
        <x:v>1</x:v>
      </x:c>
      <x:c r="I15" s="35" t="n">
        <x:f>IF(ISBLANK(A15),"",IF(AND(H15=1,COUNTIFS('Dashboard'!$A$26:$A$32,B15,'Dashboard'!$B$26:$B$32,C15,'Dashboard'!$H$26:$H$32,"Complete")=1),SUMIFS('Dashboard'!$C$26:$C$32,'Dashboard'!$A$26:$A$32,B15,'Dashboard'!$B$26:$B$32,C15),"n.a."))</x:f>
        <x:v>2</x:v>
      </x:c>
      <x:c r="J15" s="35" t="n">
        <x:f>IF(ISBLANK(A15),"",IF(AND(H15=1,COUNTIFS('Dashboard'!$A$26:$A$32,B15,'Dashboard'!$B$26:$B$32,C15,'Dashboard'!$H$26:$H$32,"Complete")=1),SUMIFS('Dashboard'!$D$26:$D$32,'Dashboard'!$A$26:$A$32,B15,'Dashboard'!$B$26:$B$32,C15),"n.a."))</x:f>
        <x:v>12</x:v>
      </x:c>
      <x:c r="K15" s="31" t="str">
        <x:f>IF(ISBLANK(A15),"",IF(F15="No","Excluded",IF(OR(F15&lt;&gt;"Yes",COUNTIFS($A$13:$A$32,A15)&lt;&gt;1,COUNTIFS('Dashboard'!$A$13:$A$15,B15)&lt;&gt;1,H15&lt;&gt;1,ISBLANK(G15),ISBLANK(D15),ISBLANK(E15),NOT(ISNUMBER(D15)),NOT(ISNUMBER(E15)),NOT(ISNUMBER(I15)),NOT(ISNUMBER(J15)),D15&lt;0,E15&lt;0),"Unknown",IF(AND(D15&lt;=I15,E15&lt;=J15),"Met","Breach"))))</x:f>
        <x:v>Met</x:v>
      </x:c>
      <x:c r="L15" s="37" t="n">
        <x:f>IF(ISBLANK(A15),"",IF(AND(H15=1,COUNTIFS('Dashboard'!$A$26:$A$32,B15,'Dashboard'!$B$26:$B$32,C15,'Dashboard'!$H$26:$H$32,"Complete")=1),SUMIFS('Dashboard'!$F$26:$F$32,'Dashboard'!$A$26:$A$32,B15,'Dashboard'!$B$26:$B$32,C15),"n.a."))</x:f>
        <x:v>0.01</x:v>
      </x:c>
      <x:c r="M15" s="30" t="n">
        <x:f>IF(ISBLANK(A15),"",IF(AND(H15=1,COUNTIFS('Dashboard'!$A$26:$A$32,B15,'Dashboard'!$B$26:$B$32,C15,'Dashboard'!$H$26:$H$32,"Complete")=1),SUMIFS('Dashboard'!$E$26:$E$32,'Dashboard'!$A$26:$A$32,B15,'Dashboard'!$B$26:$B$32,C15),"n.a."))</x:f>
        <x:v>6000</x:v>
      </x:c>
      <x:c r="N15" s="30" t="n">
        <x:f>IF(ISBLANK(A15),"",IF(K15="Breach",L15*M15,0))</x:f>
        <x:v>0</x:v>
      </x:c>
    </x:row>
    <x:row r="16" ht="15" hidden="0" customHeight="1">
      <x:c r="A16" s="13" t="str">
        <x:v>T-04</x:v>
      </x:c>
      <x:c r="B16" s="13" t="str">
        <x:v>C-502</x:v>
      </x:c>
      <x:c r="C16" s="13" t="str">
        <x:v>P2</x:v>
      </x:c>
      <x:c r="D16" s="33" t="n">
        <x:v>7</x:v>
      </x:c>
      <x:c r="E16" s="33" t="n">
        <x:v>60</x:v>
      </x:c>
      <x:c r="F16" s="13" t="str">
        <x:v>Yes</x:v>
      </x:c>
      <x:c r="G16" s="13" t="str">
        <x:v>SRC-04</x:v>
      </x:c>
      <x:c r="H16" s="31" t="n">
        <x:f>IF(ISBLANK(A16),"",COUNTIFS('Dashboard'!$A$26:$A$32,B16,'Dashboard'!$B$26:$B$32,C16))</x:f>
        <x:v>1</x:v>
      </x:c>
      <x:c r="I16" s="35" t="n">
        <x:f>IF(ISBLANK(A16),"",IF(AND(H16=1,COUNTIFS('Dashboard'!$A$26:$A$32,B16,'Dashboard'!$B$26:$B$32,C16,'Dashboard'!$H$26:$H$32,"Complete")=1),SUMIFS('Dashboard'!$C$26:$C$32,'Dashboard'!$A$26:$A$32,B16,'Dashboard'!$B$26:$B$32,C16),"n.a."))</x:f>
        <x:v>8</x:v>
      </x:c>
      <x:c r="J16" s="35" t="n">
        <x:f>IF(ISBLANK(A16),"",IF(AND(H16=1,COUNTIFS('Dashboard'!$A$26:$A$32,B16,'Dashboard'!$B$26:$B$32,C16,'Dashboard'!$H$26:$H$32,"Complete")=1),SUMIFS('Dashboard'!$D$26:$D$32,'Dashboard'!$A$26:$A$32,B16,'Dashboard'!$B$26:$B$32,C16),"n.a."))</x:f>
        <x:v>48</x:v>
      </x:c>
      <x:c r="K16" s="31" t="str">
        <x:f>IF(ISBLANK(A16),"",IF(F16="No","Excluded",IF(OR(F16&lt;&gt;"Yes",COUNTIFS($A$13:$A$32,A16)&lt;&gt;1,COUNTIFS('Dashboard'!$A$13:$A$15,B16)&lt;&gt;1,H16&lt;&gt;1,ISBLANK(G16),ISBLANK(D16),ISBLANK(E16),NOT(ISNUMBER(D16)),NOT(ISNUMBER(E16)),NOT(ISNUMBER(I16)),NOT(ISNUMBER(J16)),D16&lt;0,E16&lt;0),"Unknown",IF(AND(D16&lt;=I16,E16&lt;=J16),"Met","Breach"))))</x:f>
        <x:v>Breach</x:v>
      </x:c>
      <x:c r="L16" s="37" t="n">
        <x:f>IF(ISBLANK(A16),"",IF(AND(H16=1,COUNTIFS('Dashboard'!$A$26:$A$32,B16,'Dashboard'!$B$26:$B$32,C16,'Dashboard'!$H$26:$H$32,"Complete")=1),SUMIFS('Dashboard'!$F$26:$F$32,'Dashboard'!$A$26:$A$32,B16,'Dashboard'!$B$26:$B$32,C16),"n.a."))</x:f>
        <x:v>0.01</x:v>
      </x:c>
      <x:c r="M16" s="30" t="n">
        <x:f>IF(ISBLANK(A16),"",IF(AND(H16=1,COUNTIFS('Dashboard'!$A$26:$A$32,B16,'Dashboard'!$B$26:$B$32,C16,'Dashboard'!$H$26:$H$32,"Complete")=1),SUMIFS('Dashboard'!$E$26:$E$32,'Dashboard'!$A$26:$A$32,B16,'Dashboard'!$B$26:$B$32,C16),"n.a."))</x:f>
        <x:v>6000</x:v>
      </x:c>
      <x:c r="N16" s="30" t="n">
        <x:f>IF(ISBLANK(A16),"",IF(K16="Breach",L16*M16,0))</x:f>
        <x:v>60</x:v>
      </x:c>
    </x:row>
    <x:row r="17" ht="15" hidden="0" customHeight="1">
      <x:c r="A17" s="13" t="str">
        <x:v>T-05</x:v>
      </x:c>
      <x:c r="B17" s="13" t="str">
        <x:v>C-503</x:v>
      </x:c>
      <x:c r="C17" s="13" t="str">
        <x:v>P1</x:v>
      </x:c>
      <x:c r="D17" s="33" t="n">
        <x:v>0.5</x:v>
      </x:c>
      <x:c r="E17" s="33"/>
      <x:c r="F17" s="13" t="str">
        <x:v>Yes</x:v>
      </x:c>
      <x:c r="G17" s="13" t="str">
        <x:v>SRC-05</x:v>
      </x:c>
      <x:c r="H17" s="31" t="n">
        <x:f>IF(ISBLANK(A17),"",COUNTIFS('Dashboard'!$A$26:$A$32,B17,'Dashboard'!$B$26:$B$32,C17))</x:f>
        <x:v>1</x:v>
      </x:c>
      <x:c r="I17" s="35" t="n">
        <x:f>IF(ISBLANK(A17),"",IF(AND(H17=1,COUNTIFS('Dashboard'!$A$26:$A$32,B17,'Dashboard'!$B$26:$B$32,C17,'Dashboard'!$H$26:$H$32,"Complete")=1),SUMIFS('Dashboard'!$C$26:$C$32,'Dashboard'!$A$26:$A$32,B17,'Dashboard'!$B$26:$B$32,C17),"n.a."))</x:f>
        <x:v>1</x:v>
      </x:c>
      <x:c r="J17" s="35" t="n">
        <x:f>IF(ISBLANK(A17),"",IF(AND(H17=1,COUNTIFS('Dashboard'!$A$26:$A$32,B17,'Dashboard'!$B$26:$B$32,C17,'Dashboard'!$H$26:$H$32,"Complete")=1),SUMIFS('Dashboard'!$D$26:$D$32,'Dashboard'!$A$26:$A$32,B17,'Dashboard'!$B$26:$B$32,C17),"n.a."))</x:f>
        <x:v>8</x:v>
      </x:c>
      <x:c r="K17" s="31" t="str">
        <x:f>IF(ISBLANK(A17),"",IF(F17="No","Excluded",IF(OR(F17&lt;&gt;"Yes",COUNTIFS($A$13:$A$32,A17)&lt;&gt;1,COUNTIFS('Dashboard'!$A$13:$A$15,B17)&lt;&gt;1,H17&lt;&gt;1,ISBLANK(G17),ISBLANK(D17),ISBLANK(E17),NOT(ISNUMBER(D17)),NOT(ISNUMBER(E17)),NOT(ISNUMBER(I17)),NOT(ISNUMBER(J17)),D17&lt;0,E17&lt;0),"Unknown",IF(AND(D17&lt;=I17,E17&lt;=J17),"Met","Breach"))))</x:f>
        <x:v>Unknown</x:v>
      </x:c>
      <x:c r="L17" s="37" t="n">
        <x:f>IF(ISBLANK(A17),"",IF(AND(H17=1,COUNTIFS('Dashboard'!$A$26:$A$32,B17,'Dashboard'!$B$26:$B$32,C17,'Dashboard'!$H$26:$H$32,"Complete")=1),SUMIFS('Dashboard'!$F$26:$F$32,'Dashboard'!$A$26:$A$32,B17,'Dashboard'!$B$26:$B$32,C17),"n.a."))</x:f>
        <x:v>0.02</x:v>
      </x:c>
      <x:c r="M17" s="30" t="n">
        <x:f>IF(ISBLANK(A17),"",IF(AND(H17=1,COUNTIFS('Dashboard'!$A$26:$A$32,B17,'Dashboard'!$B$26:$B$32,C17,'Dashboard'!$H$26:$H$32,"Complete")=1),SUMIFS('Dashboard'!$E$26:$E$32,'Dashboard'!$A$26:$A$32,B17,'Dashboard'!$B$26:$B$32,C17),"n.a."))</x:f>
        <x:v>8000</x:v>
      </x:c>
      <x:c r="N17" s="30" t="n">
        <x:f>IF(ISBLANK(A17),"",IF(K17="Breach",L17*M17,0))</x:f>
        <x:v>0</x:v>
      </x:c>
    </x:row>
    <x:row r="18" ht="15" hidden="0" customHeight="1">
      <x:c r="A18" s="13" t="str">
        <x:v>T-06</x:v>
      </x:c>
      <x:c r="B18" s="13" t="str">
        <x:v>C-501</x:v>
      </x:c>
      <x:c r="C18" s="13" t="str">
        <x:v>P2</x:v>
      </x:c>
      <x:c r="D18" s="33" t="n">
        <x:v>10</x:v>
      </x:c>
      <x:c r="E18" s="33" t="n">
        <x:v>40</x:v>
      </x:c>
      <x:c r="F18" s="13" t="str">
        <x:v>No</x:v>
      </x:c>
      <x:c r="G18" s="13" t="str">
        <x:v>EXCLUDED-06</x:v>
      </x:c>
      <x:c r="H18" s="31" t="n">
        <x:f>IF(ISBLANK(A18),"",COUNTIFS('Dashboard'!$A$26:$A$32,B18,'Dashboard'!$B$26:$B$32,C18))</x:f>
        <x:v>1</x:v>
      </x:c>
      <x:c r="I18" s="35" t="n">
        <x:f>IF(ISBLANK(A18),"",IF(AND(H18=1,COUNTIFS('Dashboard'!$A$26:$A$32,B18,'Dashboard'!$B$26:$B$32,C18,'Dashboard'!$H$26:$H$32,"Complete")=1),SUMIFS('Dashboard'!$C$26:$C$32,'Dashboard'!$A$26:$A$32,B18,'Dashboard'!$B$26:$B$32,C18),"n.a."))</x:f>
        <x:v>4</x:v>
      </x:c>
      <x:c r="J18" s="35" t="n">
        <x:f>IF(ISBLANK(A18),"",IF(AND(H18=1,COUNTIFS('Dashboard'!$A$26:$A$32,B18,'Dashboard'!$B$26:$B$32,C18,'Dashboard'!$H$26:$H$32,"Complete")=1),SUMIFS('Dashboard'!$D$26:$D$32,'Dashboard'!$A$26:$A$32,B18,'Dashboard'!$B$26:$B$32,C18),"n.a."))</x:f>
        <x:v>24</x:v>
      </x:c>
      <x:c r="K18" s="31" t="str">
        <x:f>IF(ISBLANK(A18),"",IF(F18="No","Excluded",IF(OR(F18&lt;&gt;"Yes",COUNTIFS($A$13:$A$32,A18)&lt;&gt;1,COUNTIFS('Dashboard'!$A$13:$A$15,B18)&lt;&gt;1,H18&lt;&gt;1,ISBLANK(G18),ISBLANK(D18),ISBLANK(E18),NOT(ISNUMBER(D18)),NOT(ISNUMBER(E18)),NOT(ISNUMBER(I18)),NOT(ISNUMBER(J18)),D18&lt;0,E18&lt;0),"Unknown",IF(AND(D18&lt;=I18,E18&lt;=J18),"Met","Breach"))))</x:f>
        <x:v>Excluded</x:v>
      </x:c>
      <x:c r="L18" s="37" t="n">
        <x:f>IF(ISBLANK(A18),"",IF(AND(H18=1,COUNTIFS('Dashboard'!$A$26:$A$32,B18,'Dashboard'!$B$26:$B$32,C18,'Dashboard'!$H$26:$H$32,"Complete")=1),SUMIFS('Dashboard'!$F$26:$F$32,'Dashboard'!$A$26:$A$32,B18,'Dashboard'!$B$26:$B$32,C18),"n.a."))</x:f>
        <x:v>0.02</x:v>
      </x:c>
      <x:c r="M18" s="30" t="n">
        <x:f>IF(ISBLANK(A18),"",IF(AND(H18=1,COUNTIFS('Dashboard'!$A$26:$A$32,B18,'Dashboard'!$B$26:$B$32,C18,'Dashboard'!$H$26:$H$32,"Complete")=1),SUMIFS('Dashboard'!$E$26:$E$32,'Dashboard'!$A$26:$A$32,B18,'Dashboard'!$B$26:$B$32,C18),"n.a."))</x:f>
        <x:v>10000</x:v>
      </x:c>
      <x:c r="N18" s="30" t="n">
        <x:f>IF(ISBLANK(A18),"",IF(K18="Breach",L18*M18,0))</x:f>
        <x:v>0</x:v>
      </x:c>
    </x:row>
    <x:row r="19" ht="25" customHeight="1">
      <x:c r="A19" s="13"/>
      <x:c r="B19" s="13"/>
      <x:c r="C19" s="13"/>
      <x:c r="D19" s="33"/>
      <x:c r="E19" s="33"/>
      <x:c r="F19" s="13"/>
      <x:c r="G19" s="13"/>
      <x:c r="H19" s="31" t="str">
        <x:f>IF(ISBLANK(A19),"",COUNTIFS('Dashboard'!$A$26:$A$32,B19,'Dashboard'!$B$26:$B$32,C19))</x:f>
      </x:c>
      <x:c r="I19" s="35" t="str">
        <x:f>IF(ISBLANK(A19),"",IF(AND(H19=1,COUNTIFS('Dashboard'!$A$26:$A$32,B19,'Dashboard'!$B$26:$B$32,C19,'Dashboard'!$H$26:$H$32,"Complete")=1),SUMIFS('Dashboard'!$C$26:$C$32,'Dashboard'!$A$26:$A$32,B19,'Dashboard'!$B$26:$B$32,C19),"n.a."))</x:f>
      </x:c>
      <x:c r="J19" s="35" t="str">
        <x:f>IF(ISBLANK(A19),"",IF(AND(H19=1,COUNTIFS('Dashboard'!$A$26:$A$32,B19,'Dashboard'!$B$26:$B$32,C19,'Dashboard'!$H$26:$H$32,"Complete")=1),SUMIFS('Dashboard'!$D$26:$D$32,'Dashboard'!$A$26:$A$32,B19,'Dashboard'!$B$26:$B$32,C19),"n.a."))</x:f>
      </x:c>
      <x:c r="K19" s="31" t="str">
        <x:f>IF(ISBLANK(A19),"",IF(F19="No","Excluded",IF(OR(F19&lt;&gt;"Yes",COUNTIFS($A$13:$A$32,A19)&lt;&gt;1,COUNTIFS('Dashboard'!$A$13:$A$15,B19)&lt;&gt;1,H19&lt;&gt;1,ISBLANK(G19),ISBLANK(D19),ISBLANK(E19),NOT(ISNUMBER(D19)),NOT(ISNUMBER(E19)),NOT(ISNUMBER(I19)),NOT(ISNUMBER(J19)),D19&lt;0,E19&lt;0),"Unknown",IF(AND(D19&lt;=I19,E19&lt;=J19),"Met","Breach"))))</x:f>
      </x:c>
      <x:c r="L19" s="37" t="str">
        <x:f>IF(ISBLANK(A19),"",IF(AND(H19=1,COUNTIFS('Dashboard'!$A$26:$A$32,B19,'Dashboard'!$B$26:$B$32,C19,'Dashboard'!$H$26:$H$32,"Complete")=1),SUMIFS('Dashboard'!$F$26:$F$32,'Dashboard'!$A$26:$A$32,B19,'Dashboard'!$B$26:$B$32,C19),"n.a."))</x:f>
      </x:c>
      <x:c r="M19" s="30" t="str">
        <x:f>IF(ISBLANK(A19),"",IF(AND(H19=1,COUNTIFS('Dashboard'!$A$26:$A$32,B19,'Dashboard'!$B$26:$B$32,C19,'Dashboard'!$H$26:$H$32,"Complete")=1),SUMIFS('Dashboard'!$E$26:$E$32,'Dashboard'!$A$26:$A$32,B19,'Dashboard'!$B$26:$B$32,C19),"n.a."))</x:f>
      </x:c>
      <x:c r="N19" s="30" t="str">
        <x:f>IF(ISBLANK(A19),"",IF(K19="Breach",L19*M19,0))</x:f>
      </x:c>
    </x:row>
    <x:row r="20" ht="25" customHeight="1">
      <x:c r="A20" s="13"/>
      <x:c r="B20" s="13"/>
      <x:c r="C20" s="13"/>
      <x:c r="D20" s="33"/>
      <x:c r="E20" s="33"/>
      <x:c r="F20" s="13"/>
      <x:c r="G20" s="13"/>
      <x:c r="H20" s="31" t="str">
        <x:f>IF(ISBLANK(A20),"",COUNTIFS('Dashboard'!$A$26:$A$32,B20,'Dashboard'!$B$26:$B$32,C20))</x:f>
      </x:c>
      <x:c r="I20" s="35" t="str">
        <x:f>IF(ISBLANK(A20),"",IF(AND(H20=1,COUNTIFS('Dashboard'!$A$26:$A$32,B20,'Dashboard'!$B$26:$B$32,C20,'Dashboard'!$H$26:$H$32,"Complete")=1),SUMIFS('Dashboard'!$C$26:$C$32,'Dashboard'!$A$26:$A$32,B20,'Dashboard'!$B$26:$B$32,C20),"n.a."))</x:f>
      </x:c>
      <x:c r="J20" s="35" t="str">
        <x:f>IF(ISBLANK(A20),"",IF(AND(H20=1,COUNTIFS('Dashboard'!$A$26:$A$32,B20,'Dashboard'!$B$26:$B$32,C20,'Dashboard'!$H$26:$H$32,"Complete")=1),SUMIFS('Dashboard'!$D$26:$D$32,'Dashboard'!$A$26:$A$32,B20,'Dashboard'!$B$26:$B$32,C20),"n.a."))</x:f>
      </x:c>
      <x:c r="K20" s="31" t="str">
        <x:f>IF(ISBLANK(A20),"",IF(F20="No","Excluded",IF(OR(F20&lt;&gt;"Yes",COUNTIFS($A$13:$A$32,A20)&lt;&gt;1,COUNTIFS('Dashboard'!$A$13:$A$15,B20)&lt;&gt;1,H20&lt;&gt;1,ISBLANK(G20),ISBLANK(D20),ISBLANK(E20),NOT(ISNUMBER(D20)),NOT(ISNUMBER(E20)),NOT(ISNUMBER(I20)),NOT(ISNUMBER(J20)),D20&lt;0,E20&lt;0),"Unknown",IF(AND(D20&lt;=I20,E20&lt;=J20),"Met","Breach"))))</x:f>
      </x:c>
      <x:c r="L20" s="37" t="str">
        <x:f>IF(ISBLANK(A20),"",IF(AND(H20=1,COUNTIFS('Dashboard'!$A$26:$A$32,B20,'Dashboard'!$B$26:$B$32,C20,'Dashboard'!$H$26:$H$32,"Complete")=1),SUMIFS('Dashboard'!$F$26:$F$32,'Dashboard'!$A$26:$A$32,B20,'Dashboard'!$B$26:$B$32,C20),"n.a."))</x:f>
      </x:c>
      <x:c r="M20" s="30" t="str">
        <x:f>IF(ISBLANK(A20),"",IF(AND(H20=1,COUNTIFS('Dashboard'!$A$26:$A$32,B20,'Dashboard'!$B$26:$B$32,C20,'Dashboard'!$H$26:$H$32,"Complete")=1),SUMIFS('Dashboard'!$E$26:$E$32,'Dashboard'!$A$26:$A$32,B20,'Dashboard'!$B$26:$B$32,C20),"n.a."))</x:f>
      </x:c>
      <x:c r="N20" s="30" t="str">
        <x:f>IF(ISBLANK(A20),"",IF(K20="Breach",L20*M20,0))</x:f>
      </x:c>
    </x:row>
    <x:row r="21" ht="25" customHeight="1">
      <x:c r="A21" s="13"/>
      <x:c r="B21" s="13"/>
      <x:c r="C21" s="13"/>
      <x:c r="D21" s="33"/>
      <x:c r="E21" s="33"/>
      <x:c r="F21" s="13"/>
      <x:c r="G21" s="13"/>
      <x:c r="H21" s="31" t="str">
        <x:f>IF(ISBLANK(A21),"",COUNTIFS('Dashboard'!$A$26:$A$32,B21,'Dashboard'!$B$26:$B$32,C21))</x:f>
      </x:c>
      <x:c r="I21" s="35" t="str">
        <x:f>IF(ISBLANK(A21),"",IF(AND(H21=1,COUNTIFS('Dashboard'!$A$26:$A$32,B21,'Dashboard'!$B$26:$B$32,C21,'Dashboard'!$H$26:$H$32,"Complete")=1),SUMIFS('Dashboard'!$C$26:$C$32,'Dashboard'!$A$26:$A$32,B21,'Dashboard'!$B$26:$B$32,C21),"n.a."))</x:f>
      </x:c>
      <x:c r="J21" s="35" t="str">
        <x:f>IF(ISBLANK(A21),"",IF(AND(H21=1,COUNTIFS('Dashboard'!$A$26:$A$32,B21,'Dashboard'!$B$26:$B$32,C21,'Dashboard'!$H$26:$H$32,"Complete")=1),SUMIFS('Dashboard'!$D$26:$D$32,'Dashboard'!$A$26:$A$32,B21,'Dashboard'!$B$26:$B$32,C21),"n.a."))</x:f>
      </x:c>
      <x:c r="K21" s="31" t="str">
        <x:f>IF(ISBLANK(A21),"",IF(F21="No","Excluded",IF(OR(F21&lt;&gt;"Yes",COUNTIFS($A$13:$A$32,A21)&lt;&gt;1,COUNTIFS('Dashboard'!$A$13:$A$15,B21)&lt;&gt;1,H21&lt;&gt;1,ISBLANK(G21),ISBLANK(D21),ISBLANK(E21),NOT(ISNUMBER(D21)),NOT(ISNUMBER(E21)),NOT(ISNUMBER(I21)),NOT(ISNUMBER(J21)),D21&lt;0,E21&lt;0),"Unknown",IF(AND(D21&lt;=I21,E21&lt;=J21),"Met","Breach"))))</x:f>
      </x:c>
      <x:c r="L21" s="37" t="str">
        <x:f>IF(ISBLANK(A21),"",IF(AND(H21=1,COUNTIFS('Dashboard'!$A$26:$A$32,B21,'Dashboard'!$B$26:$B$32,C21,'Dashboard'!$H$26:$H$32,"Complete")=1),SUMIFS('Dashboard'!$F$26:$F$32,'Dashboard'!$A$26:$A$32,B21,'Dashboard'!$B$26:$B$32,C21),"n.a."))</x:f>
      </x:c>
      <x:c r="M21" s="30" t="str">
        <x:f>IF(ISBLANK(A21),"",IF(AND(H21=1,COUNTIFS('Dashboard'!$A$26:$A$32,B21,'Dashboard'!$B$26:$B$32,C21,'Dashboard'!$H$26:$H$32,"Complete")=1),SUMIFS('Dashboard'!$E$26:$E$32,'Dashboard'!$A$26:$A$32,B21,'Dashboard'!$B$26:$B$32,C21),"n.a."))</x:f>
      </x:c>
      <x:c r="N21" s="30" t="str">
        <x:f>IF(ISBLANK(A21),"",IF(K21="Breach",L21*M21,0))</x:f>
      </x:c>
    </x:row>
    <x:row r="22" ht="25" customHeight="1">
      <x:c r="A22" s="13"/>
      <x:c r="B22" s="13"/>
      <x:c r="C22" s="13"/>
      <x:c r="D22" s="33"/>
      <x:c r="E22" s="33"/>
      <x:c r="F22" s="13"/>
      <x:c r="G22" s="13"/>
      <x:c r="H22" s="31" t="str">
        <x:f>IF(ISBLANK(A22),"",COUNTIFS('Dashboard'!$A$26:$A$32,B22,'Dashboard'!$B$26:$B$32,C22))</x:f>
      </x:c>
      <x:c r="I22" s="35" t="str">
        <x:f>IF(ISBLANK(A22),"",IF(AND(H22=1,COUNTIFS('Dashboard'!$A$26:$A$32,B22,'Dashboard'!$B$26:$B$32,C22,'Dashboard'!$H$26:$H$32,"Complete")=1),SUMIFS('Dashboard'!$C$26:$C$32,'Dashboard'!$A$26:$A$32,B22,'Dashboard'!$B$26:$B$32,C22),"n.a."))</x:f>
      </x:c>
      <x:c r="J22" s="35" t="str">
        <x:f>IF(ISBLANK(A22),"",IF(AND(H22=1,COUNTIFS('Dashboard'!$A$26:$A$32,B22,'Dashboard'!$B$26:$B$32,C22,'Dashboard'!$H$26:$H$32,"Complete")=1),SUMIFS('Dashboard'!$D$26:$D$32,'Dashboard'!$A$26:$A$32,B22,'Dashboard'!$B$26:$B$32,C22),"n.a."))</x:f>
      </x:c>
      <x:c r="K22" s="31" t="str">
        <x:f>IF(ISBLANK(A22),"",IF(F22="No","Excluded",IF(OR(F22&lt;&gt;"Yes",COUNTIFS($A$13:$A$32,A22)&lt;&gt;1,COUNTIFS('Dashboard'!$A$13:$A$15,B22)&lt;&gt;1,H22&lt;&gt;1,ISBLANK(G22),ISBLANK(D22),ISBLANK(E22),NOT(ISNUMBER(D22)),NOT(ISNUMBER(E22)),NOT(ISNUMBER(I22)),NOT(ISNUMBER(J22)),D22&lt;0,E22&lt;0),"Unknown",IF(AND(D22&lt;=I22,E22&lt;=J22),"Met","Breach"))))</x:f>
      </x:c>
      <x:c r="L22" s="37" t="str">
        <x:f>IF(ISBLANK(A22),"",IF(AND(H22=1,COUNTIFS('Dashboard'!$A$26:$A$32,B22,'Dashboard'!$B$26:$B$32,C22,'Dashboard'!$H$26:$H$32,"Complete")=1),SUMIFS('Dashboard'!$F$26:$F$32,'Dashboard'!$A$26:$A$32,B22,'Dashboard'!$B$26:$B$32,C22),"n.a."))</x:f>
      </x:c>
      <x:c r="M22" s="30" t="str">
        <x:f>IF(ISBLANK(A22),"",IF(AND(H22=1,COUNTIFS('Dashboard'!$A$26:$A$32,B22,'Dashboard'!$B$26:$B$32,C22,'Dashboard'!$H$26:$H$32,"Complete")=1),SUMIFS('Dashboard'!$E$26:$E$32,'Dashboard'!$A$26:$A$32,B22,'Dashboard'!$B$26:$B$32,C22),"n.a."))</x:f>
      </x:c>
      <x:c r="N22" s="30" t="str">
        <x:f>IF(ISBLANK(A22),"",IF(K22="Breach",L22*M22,0))</x:f>
      </x:c>
    </x:row>
    <x:row r="23" ht="25" customHeight="1">
      <x:c r="A23" s="13"/>
      <x:c r="B23" s="13"/>
      <x:c r="C23" s="13"/>
      <x:c r="D23" s="33"/>
      <x:c r="E23" s="33"/>
      <x:c r="F23" s="13"/>
      <x:c r="G23" s="13"/>
      <x:c r="H23" s="31" t="str">
        <x:f>IF(ISBLANK(A23),"",COUNTIFS('Dashboard'!$A$26:$A$32,B23,'Dashboard'!$B$26:$B$32,C23))</x:f>
      </x:c>
      <x:c r="I23" s="35" t="str">
        <x:f>IF(ISBLANK(A23),"",IF(AND(H23=1,COUNTIFS('Dashboard'!$A$26:$A$32,B23,'Dashboard'!$B$26:$B$32,C23,'Dashboard'!$H$26:$H$32,"Complete")=1),SUMIFS('Dashboard'!$C$26:$C$32,'Dashboard'!$A$26:$A$32,B23,'Dashboard'!$B$26:$B$32,C23),"n.a."))</x:f>
      </x:c>
      <x:c r="J23" s="35" t="str">
        <x:f>IF(ISBLANK(A23),"",IF(AND(H23=1,COUNTIFS('Dashboard'!$A$26:$A$32,B23,'Dashboard'!$B$26:$B$32,C23,'Dashboard'!$H$26:$H$32,"Complete")=1),SUMIFS('Dashboard'!$D$26:$D$32,'Dashboard'!$A$26:$A$32,B23,'Dashboard'!$B$26:$B$32,C23),"n.a."))</x:f>
      </x:c>
      <x:c r="K23" s="31" t="str">
        <x:f>IF(ISBLANK(A23),"",IF(F23="No","Excluded",IF(OR(F23&lt;&gt;"Yes",COUNTIFS($A$13:$A$32,A23)&lt;&gt;1,COUNTIFS('Dashboard'!$A$13:$A$15,B23)&lt;&gt;1,H23&lt;&gt;1,ISBLANK(G23),ISBLANK(D23),ISBLANK(E23),NOT(ISNUMBER(D23)),NOT(ISNUMBER(E23)),NOT(ISNUMBER(I23)),NOT(ISNUMBER(J23)),D23&lt;0,E23&lt;0),"Unknown",IF(AND(D23&lt;=I23,E23&lt;=J23),"Met","Breach"))))</x:f>
      </x:c>
      <x:c r="L23" s="37" t="str">
        <x:f>IF(ISBLANK(A23),"",IF(AND(H23=1,COUNTIFS('Dashboard'!$A$26:$A$32,B23,'Dashboard'!$B$26:$B$32,C23,'Dashboard'!$H$26:$H$32,"Complete")=1),SUMIFS('Dashboard'!$F$26:$F$32,'Dashboard'!$A$26:$A$32,B23,'Dashboard'!$B$26:$B$32,C23),"n.a."))</x:f>
      </x:c>
      <x:c r="M23" s="30" t="str">
        <x:f>IF(ISBLANK(A23),"",IF(AND(H23=1,COUNTIFS('Dashboard'!$A$26:$A$32,B23,'Dashboard'!$B$26:$B$32,C23,'Dashboard'!$H$26:$H$32,"Complete")=1),SUMIFS('Dashboard'!$E$26:$E$32,'Dashboard'!$A$26:$A$32,B23,'Dashboard'!$B$26:$B$32,C23),"n.a."))</x:f>
      </x:c>
      <x:c r="N23" s="30" t="str">
        <x:f>IF(ISBLANK(A23),"",IF(K23="Breach",L23*M23,0))</x:f>
      </x:c>
    </x:row>
    <x:row r="24" ht="25" customHeight="1">
      <x:c r="A24" s="13"/>
      <x:c r="B24" s="13"/>
      <x:c r="C24" s="13"/>
      <x:c r="D24" s="33"/>
      <x:c r="E24" s="33"/>
      <x:c r="F24" s="13"/>
      <x:c r="G24" s="13"/>
      <x:c r="H24" s="31" t="str">
        <x:f>IF(ISBLANK(A24),"",COUNTIFS('Dashboard'!$A$26:$A$32,B24,'Dashboard'!$B$26:$B$32,C24))</x:f>
      </x:c>
      <x:c r="I24" s="35" t="str">
        <x:f>IF(ISBLANK(A24),"",IF(AND(H24=1,COUNTIFS('Dashboard'!$A$26:$A$32,B24,'Dashboard'!$B$26:$B$32,C24,'Dashboard'!$H$26:$H$32,"Complete")=1),SUMIFS('Dashboard'!$C$26:$C$32,'Dashboard'!$A$26:$A$32,B24,'Dashboard'!$B$26:$B$32,C24),"n.a."))</x:f>
      </x:c>
      <x:c r="J24" s="35" t="str">
        <x:f>IF(ISBLANK(A24),"",IF(AND(H24=1,COUNTIFS('Dashboard'!$A$26:$A$32,B24,'Dashboard'!$B$26:$B$32,C24,'Dashboard'!$H$26:$H$32,"Complete")=1),SUMIFS('Dashboard'!$D$26:$D$32,'Dashboard'!$A$26:$A$32,B24,'Dashboard'!$B$26:$B$32,C24),"n.a."))</x:f>
      </x:c>
      <x:c r="K24" s="31" t="str">
        <x:f>IF(ISBLANK(A24),"",IF(F24="No","Excluded",IF(OR(F24&lt;&gt;"Yes",COUNTIFS($A$13:$A$32,A24)&lt;&gt;1,COUNTIFS('Dashboard'!$A$13:$A$15,B24)&lt;&gt;1,H24&lt;&gt;1,ISBLANK(G24),ISBLANK(D24),ISBLANK(E24),NOT(ISNUMBER(D24)),NOT(ISNUMBER(E24)),NOT(ISNUMBER(I24)),NOT(ISNUMBER(J24)),D24&lt;0,E24&lt;0),"Unknown",IF(AND(D24&lt;=I24,E24&lt;=J24),"Met","Breach"))))</x:f>
      </x:c>
      <x:c r="L24" s="37" t="str">
        <x:f>IF(ISBLANK(A24),"",IF(AND(H24=1,COUNTIFS('Dashboard'!$A$26:$A$32,B24,'Dashboard'!$B$26:$B$32,C24,'Dashboard'!$H$26:$H$32,"Complete")=1),SUMIFS('Dashboard'!$F$26:$F$32,'Dashboard'!$A$26:$A$32,B24,'Dashboard'!$B$26:$B$32,C24),"n.a."))</x:f>
      </x:c>
      <x:c r="M24" s="30" t="str">
        <x:f>IF(ISBLANK(A24),"",IF(AND(H24=1,COUNTIFS('Dashboard'!$A$26:$A$32,B24,'Dashboard'!$B$26:$B$32,C24,'Dashboard'!$H$26:$H$32,"Complete")=1),SUMIFS('Dashboard'!$E$26:$E$32,'Dashboard'!$A$26:$A$32,B24,'Dashboard'!$B$26:$B$32,C24),"n.a."))</x:f>
      </x:c>
      <x:c r="N24" s="30" t="str">
        <x:f>IF(ISBLANK(A24),"",IF(K24="Breach",L24*M24,0))</x:f>
      </x:c>
    </x:row>
    <x:row r="25" ht="25" customHeight="1">
      <x:c r="A25" s="13"/>
      <x:c r="B25" s="13"/>
      <x:c r="C25" s="13"/>
      <x:c r="D25" s="33"/>
      <x:c r="E25" s="33"/>
      <x:c r="F25" s="13"/>
      <x:c r="G25" s="13"/>
      <x:c r="H25" s="31" t="str">
        <x:f>IF(ISBLANK(A25),"",COUNTIFS('Dashboard'!$A$26:$A$32,B25,'Dashboard'!$B$26:$B$32,C25))</x:f>
      </x:c>
      <x:c r="I25" s="35" t="str">
        <x:f>IF(ISBLANK(A25),"",IF(AND(H25=1,COUNTIFS('Dashboard'!$A$26:$A$32,B25,'Dashboard'!$B$26:$B$32,C25,'Dashboard'!$H$26:$H$32,"Complete")=1),SUMIFS('Dashboard'!$C$26:$C$32,'Dashboard'!$A$26:$A$32,B25,'Dashboard'!$B$26:$B$32,C25),"n.a."))</x:f>
      </x:c>
      <x:c r="J25" s="35" t="str">
        <x:f>IF(ISBLANK(A25),"",IF(AND(H25=1,COUNTIFS('Dashboard'!$A$26:$A$32,B25,'Dashboard'!$B$26:$B$32,C25,'Dashboard'!$H$26:$H$32,"Complete")=1),SUMIFS('Dashboard'!$D$26:$D$32,'Dashboard'!$A$26:$A$32,B25,'Dashboard'!$B$26:$B$32,C25),"n.a."))</x:f>
      </x:c>
      <x:c r="K25" s="31" t="str">
        <x:f>IF(ISBLANK(A25),"",IF(F25="No","Excluded",IF(OR(F25&lt;&gt;"Yes",COUNTIFS($A$13:$A$32,A25)&lt;&gt;1,COUNTIFS('Dashboard'!$A$13:$A$15,B25)&lt;&gt;1,H25&lt;&gt;1,ISBLANK(G25),ISBLANK(D25),ISBLANK(E25),NOT(ISNUMBER(D25)),NOT(ISNUMBER(E25)),NOT(ISNUMBER(I25)),NOT(ISNUMBER(J25)),D25&lt;0,E25&lt;0),"Unknown",IF(AND(D25&lt;=I25,E25&lt;=J25),"Met","Breach"))))</x:f>
      </x:c>
      <x:c r="L25" s="37" t="str">
        <x:f>IF(ISBLANK(A25),"",IF(AND(H25=1,COUNTIFS('Dashboard'!$A$26:$A$32,B25,'Dashboard'!$B$26:$B$32,C25,'Dashboard'!$H$26:$H$32,"Complete")=1),SUMIFS('Dashboard'!$F$26:$F$32,'Dashboard'!$A$26:$A$32,B25,'Dashboard'!$B$26:$B$32,C25),"n.a."))</x:f>
      </x:c>
      <x:c r="M25" s="30" t="str">
        <x:f>IF(ISBLANK(A25),"",IF(AND(H25=1,COUNTIFS('Dashboard'!$A$26:$A$32,B25,'Dashboard'!$B$26:$B$32,C25,'Dashboard'!$H$26:$H$32,"Complete")=1),SUMIFS('Dashboard'!$E$26:$E$32,'Dashboard'!$A$26:$A$32,B25,'Dashboard'!$B$26:$B$32,C25),"n.a."))</x:f>
      </x:c>
      <x:c r="N25" s="30" t="str">
        <x:f>IF(ISBLANK(A25),"",IF(K25="Breach",L25*M25,0))</x:f>
      </x:c>
    </x:row>
    <x:row r="26" ht="25" customHeight="1">
      <x:c r="A26" s="13"/>
      <x:c r="B26" s="13"/>
      <x:c r="C26" s="13"/>
      <x:c r="D26" s="33"/>
      <x:c r="E26" s="33"/>
      <x:c r="F26" s="13"/>
      <x:c r="G26" s="13"/>
      <x:c r="H26" s="31" t="str">
        <x:f>IF(ISBLANK(A26),"",COUNTIFS('Dashboard'!$A$26:$A$32,B26,'Dashboard'!$B$26:$B$32,C26))</x:f>
      </x:c>
      <x:c r="I26" s="35" t="str">
        <x:f>IF(ISBLANK(A26),"",IF(AND(H26=1,COUNTIFS('Dashboard'!$A$26:$A$32,B26,'Dashboard'!$B$26:$B$32,C26,'Dashboard'!$H$26:$H$32,"Complete")=1),SUMIFS('Dashboard'!$C$26:$C$32,'Dashboard'!$A$26:$A$32,B26,'Dashboard'!$B$26:$B$32,C26),"n.a."))</x:f>
      </x:c>
      <x:c r="J26" s="35" t="str">
        <x:f>IF(ISBLANK(A26),"",IF(AND(H26=1,COUNTIFS('Dashboard'!$A$26:$A$32,B26,'Dashboard'!$B$26:$B$32,C26,'Dashboard'!$H$26:$H$32,"Complete")=1),SUMIFS('Dashboard'!$D$26:$D$32,'Dashboard'!$A$26:$A$32,B26,'Dashboard'!$B$26:$B$32,C26),"n.a."))</x:f>
      </x:c>
      <x:c r="K26" s="31" t="str">
        <x:f>IF(ISBLANK(A26),"",IF(F26="No","Excluded",IF(OR(F26&lt;&gt;"Yes",COUNTIFS($A$13:$A$32,A26)&lt;&gt;1,COUNTIFS('Dashboard'!$A$13:$A$15,B26)&lt;&gt;1,H26&lt;&gt;1,ISBLANK(G26),ISBLANK(D26),ISBLANK(E26),NOT(ISNUMBER(D26)),NOT(ISNUMBER(E26)),NOT(ISNUMBER(I26)),NOT(ISNUMBER(J26)),D26&lt;0,E26&lt;0),"Unknown",IF(AND(D26&lt;=I26,E26&lt;=J26),"Met","Breach"))))</x:f>
      </x:c>
      <x:c r="L26" s="37" t="str">
        <x:f>IF(ISBLANK(A26),"",IF(AND(H26=1,COUNTIFS('Dashboard'!$A$26:$A$32,B26,'Dashboard'!$B$26:$B$32,C26,'Dashboard'!$H$26:$H$32,"Complete")=1),SUMIFS('Dashboard'!$F$26:$F$32,'Dashboard'!$A$26:$A$32,B26,'Dashboard'!$B$26:$B$32,C26),"n.a."))</x:f>
      </x:c>
      <x:c r="M26" s="30" t="str">
        <x:f>IF(ISBLANK(A26),"",IF(AND(H26=1,COUNTIFS('Dashboard'!$A$26:$A$32,B26,'Dashboard'!$B$26:$B$32,C26,'Dashboard'!$H$26:$H$32,"Complete")=1),SUMIFS('Dashboard'!$E$26:$E$32,'Dashboard'!$A$26:$A$32,B26,'Dashboard'!$B$26:$B$32,C26),"n.a."))</x:f>
      </x:c>
      <x:c r="N26" s="30" t="str">
        <x:f>IF(ISBLANK(A26),"",IF(K26="Breach",L26*M26,0))</x:f>
      </x:c>
    </x:row>
    <x:row r="27" ht="25" customHeight="1">
      <x:c r="A27" s="13"/>
      <x:c r="B27" s="13"/>
      <x:c r="C27" s="13"/>
      <x:c r="D27" s="33"/>
      <x:c r="E27" s="33"/>
      <x:c r="F27" s="13"/>
      <x:c r="G27" s="13"/>
      <x:c r="H27" s="31" t="str">
        <x:f>IF(ISBLANK(A27),"",COUNTIFS('Dashboard'!$A$26:$A$32,B27,'Dashboard'!$B$26:$B$32,C27))</x:f>
      </x:c>
      <x:c r="I27" s="35" t="str">
        <x:f>IF(ISBLANK(A27),"",IF(AND(H27=1,COUNTIFS('Dashboard'!$A$26:$A$32,B27,'Dashboard'!$B$26:$B$32,C27,'Dashboard'!$H$26:$H$32,"Complete")=1),SUMIFS('Dashboard'!$C$26:$C$32,'Dashboard'!$A$26:$A$32,B27,'Dashboard'!$B$26:$B$32,C27),"n.a."))</x:f>
      </x:c>
      <x:c r="J27" s="35" t="str">
        <x:f>IF(ISBLANK(A27),"",IF(AND(H27=1,COUNTIFS('Dashboard'!$A$26:$A$32,B27,'Dashboard'!$B$26:$B$32,C27,'Dashboard'!$H$26:$H$32,"Complete")=1),SUMIFS('Dashboard'!$D$26:$D$32,'Dashboard'!$A$26:$A$32,B27,'Dashboard'!$B$26:$B$32,C27),"n.a."))</x:f>
      </x:c>
      <x:c r="K27" s="31" t="str">
        <x:f>IF(ISBLANK(A27),"",IF(F27="No","Excluded",IF(OR(F27&lt;&gt;"Yes",COUNTIFS($A$13:$A$32,A27)&lt;&gt;1,COUNTIFS('Dashboard'!$A$13:$A$15,B27)&lt;&gt;1,H27&lt;&gt;1,ISBLANK(G27),ISBLANK(D27),ISBLANK(E27),NOT(ISNUMBER(D27)),NOT(ISNUMBER(E27)),NOT(ISNUMBER(I27)),NOT(ISNUMBER(J27)),D27&lt;0,E27&lt;0),"Unknown",IF(AND(D27&lt;=I27,E27&lt;=J27),"Met","Breach"))))</x:f>
      </x:c>
      <x:c r="L27" s="37" t="str">
        <x:f>IF(ISBLANK(A27),"",IF(AND(H27=1,COUNTIFS('Dashboard'!$A$26:$A$32,B27,'Dashboard'!$B$26:$B$32,C27,'Dashboard'!$H$26:$H$32,"Complete")=1),SUMIFS('Dashboard'!$F$26:$F$32,'Dashboard'!$A$26:$A$32,B27,'Dashboard'!$B$26:$B$32,C27),"n.a."))</x:f>
      </x:c>
      <x:c r="M27" s="30" t="str">
        <x:f>IF(ISBLANK(A27),"",IF(AND(H27=1,COUNTIFS('Dashboard'!$A$26:$A$32,B27,'Dashboard'!$B$26:$B$32,C27,'Dashboard'!$H$26:$H$32,"Complete")=1),SUMIFS('Dashboard'!$E$26:$E$32,'Dashboard'!$A$26:$A$32,B27,'Dashboard'!$B$26:$B$32,C27),"n.a."))</x:f>
      </x:c>
      <x:c r="N27" s="30" t="str">
        <x:f>IF(ISBLANK(A27),"",IF(K27="Breach",L27*M27,0))</x:f>
      </x:c>
    </x:row>
    <x:row r="28" ht="25" customHeight="1">
      <x:c r="A28" s="13"/>
      <x:c r="B28" s="13"/>
      <x:c r="C28" s="13"/>
      <x:c r="D28" s="33"/>
      <x:c r="E28" s="33"/>
      <x:c r="F28" s="13"/>
      <x:c r="G28" s="13"/>
      <x:c r="H28" s="31" t="str">
        <x:f>IF(ISBLANK(A28),"",COUNTIFS('Dashboard'!$A$26:$A$32,B28,'Dashboard'!$B$26:$B$32,C28))</x:f>
      </x:c>
      <x:c r="I28" s="35" t="str">
        <x:f>IF(ISBLANK(A28),"",IF(AND(H28=1,COUNTIFS('Dashboard'!$A$26:$A$32,B28,'Dashboard'!$B$26:$B$32,C28,'Dashboard'!$H$26:$H$32,"Complete")=1),SUMIFS('Dashboard'!$C$26:$C$32,'Dashboard'!$A$26:$A$32,B28,'Dashboard'!$B$26:$B$32,C28),"n.a."))</x:f>
      </x:c>
      <x:c r="J28" s="35" t="str">
        <x:f>IF(ISBLANK(A28),"",IF(AND(H28=1,COUNTIFS('Dashboard'!$A$26:$A$32,B28,'Dashboard'!$B$26:$B$32,C28,'Dashboard'!$H$26:$H$32,"Complete")=1),SUMIFS('Dashboard'!$D$26:$D$32,'Dashboard'!$A$26:$A$32,B28,'Dashboard'!$B$26:$B$32,C28),"n.a."))</x:f>
      </x:c>
      <x:c r="K28" s="31" t="str">
        <x:f>IF(ISBLANK(A28),"",IF(F28="No","Excluded",IF(OR(F28&lt;&gt;"Yes",COUNTIFS($A$13:$A$32,A28)&lt;&gt;1,COUNTIFS('Dashboard'!$A$13:$A$15,B28)&lt;&gt;1,H28&lt;&gt;1,ISBLANK(G28),ISBLANK(D28),ISBLANK(E28),NOT(ISNUMBER(D28)),NOT(ISNUMBER(E28)),NOT(ISNUMBER(I28)),NOT(ISNUMBER(J28)),D28&lt;0,E28&lt;0),"Unknown",IF(AND(D28&lt;=I28,E28&lt;=J28),"Met","Breach"))))</x:f>
      </x:c>
      <x:c r="L28" s="37" t="str">
        <x:f>IF(ISBLANK(A28),"",IF(AND(H28=1,COUNTIFS('Dashboard'!$A$26:$A$32,B28,'Dashboard'!$B$26:$B$32,C28,'Dashboard'!$H$26:$H$32,"Complete")=1),SUMIFS('Dashboard'!$F$26:$F$32,'Dashboard'!$A$26:$A$32,B28,'Dashboard'!$B$26:$B$32,C28),"n.a."))</x:f>
      </x:c>
      <x:c r="M28" s="30" t="str">
        <x:f>IF(ISBLANK(A28),"",IF(AND(H28=1,COUNTIFS('Dashboard'!$A$26:$A$32,B28,'Dashboard'!$B$26:$B$32,C28,'Dashboard'!$H$26:$H$32,"Complete")=1),SUMIFS('Dashboard'!$E$26:$E$32,'Dashboard'!$A$26:$A$32,B28,'Dashboard'!$B$26:$B$32,C28),"n.a."))</x:f>
      </x:c>
      <x:c r="N28" s="30" t="str">
        <x:f>IF(ISBLANK(A28),"",IF(K28="Breach",L28*M28,0))</x:f>
      </x:c>
    </x:row>
    <x:row r="29" ht="25" customHeight="1">
      <x:c r="A29" s="13"/>
      <x:c r="B29" s="13"/>
      <x:c r="C29" s="13"/>
      <x:c r="D29" s="33"/>
      <x:c r="E29" s="33"/>
      <x:c r="F29" s="13"/>
      <x:c r="G29" s="13"/>
      <x:c r="H29" s="31" t="str">
        <x:f>IF(ISBLANK(A29),"",COUNTIFS('Dashboard'!$A$26:$A$32,B29,'Dashboard'!$B$26:$B$32,C29))</x:f>
      </x:c>
      <x:c r="I29" s="35" t="str">
        <x:f>IF(ISBLANK(A29),"",IF(AND(H29=1,COUNTIFS('Dashboard'!$A$26:$A$32,B29,'Dashboard'!$B$26:$B$32,C29,'Dashboard'!$H$26:$H$32,"Complete")=1),SUMIFS('Dashboard'!$C$26:$C$32,'Dashboard'!$A$26:$A$32,B29,'Dashboard'!$B$26:$B$32,C29),"n.a."))</x:f>
      </x:c>
      <x:c r="J29" s="35" t="str">
        <x:f>IF(ISBLANK(A29),"",IF(AND(H29=1,COUNTIFS('Dashboard'!$A$26:$A$32,B29,'Dashboard'!$B$26:$B$32,C29,'Dashboard'!$H$26:$H$32,"Complete")=1),SUMIFS('Dashboard'!$D$26:$D$32,'Dashboard'!$A$26:$A$32,B29,'Dashboard'!$B$26:$B$32,C29),"n.a."))</x:f>
      </x:c>
      <x:c r="K29" s="31" t="str">
        <x:f>IF(ISBLANK(A29),"",IF(F29="No","Excluded",IF(OR(F29&lt;&gt;"Yes",COUNTIFS($A$13:$A$32,A29)&lt;&gt;1,COUNTIFS('Dashboard'!$A$13:$A$15,B29)&lt;&gt;1,H29&lt;&gt;1,ISBLANK(G29),ISBLANK(D29),ISBLANK(E29),NOT(ISNUMBER(D29)),NOT(ISNUMBER(E29)),NOT(ISNUMBER(I29)),NOT(ISNUMBER(J29)),D29&lt;0,E29&lt;0),"Unknown",IF(AND(D29&lt;=I29,E29&lt;=J29),"Met","Breach"))))</x:f>
      </x:c>
      <x:c r="L29" s="37" t="str">
        <x:f>IF(ISBLANK(A29),"",IF(AND(H29=1,COUNTIFS('Dashboard'!$A$26:$A$32,B29,'Dashboard'!$B$26:$B$32,C29,'Dashboard'!$H$26:$H$32,"Complete")=1),SUMIFS('Dashboard'!$F$26:$F$32,'Dashboard'!$A$26:$A$32,B29,'Dashboard'!$B$26:$B$32,C29),"n.a."))</x:f>
      </x:c>
      <x:c r="M29" s="30" t="str">
        <x:f>IF(ISBLANK(A29),"",IF(AND(H29=1,COUNTIFS('Dashboard'!$A$26:$A$32,B29,'Dashboard'!$B$26:$B$32,C29,'Dashboard'!$H$26:$H$32,"Complete")=1),SUMIFS('Dashboard'!$E$26:$E$32,'Dashboard'!$A$26:$A$32,B29,'Dashboard'!$B$26:$B$32,C29),"n.a."))</x:f>
      </x:c>
      <x:c r="N29" s="30" t="str">
        <x:f>IF(ISBLANK(A29),"",IF(K29="Breach",L29*M29,0))</x:f>
      </x:c>
    </x:row>
    <x:row r="30" ht="25" customHeight="1">
      <x:c r="A30" s="13"/>
      <x:c r="B30" s="13"/>
      <x:c r="C30" s="13"/>
      <x:c r="D30" s="33"/>
      <x:c r="E30" s="33"/>
      <x:c r="F30" s="13"/>
      <x:c r="G30" s="13"/>
      <x:c r="H30" s="31" t="str">
        <x:f>IF(ISBLANK(A30),"",COUNTIFS('Dashboard'!$A$26:$A$32,B30,'Dashboard'!$B$26:$B$32,C30))</x:f>
      </x:c>
      <x:c r="I30" s="35" t="str">
        <x:f>IF(ISBLANK(A30),"",IF(AND(H30=1,COUNTIFS('Dashboard'!$A$26:$A$32,B30,'Dashboard'!$B$26:$B$32,C30,'Dashboard'!$H$26:$H$32,"Complete")=1),SUMIFS('Dashboard'!$C$26:$C$32,'Dashboard'!$A$26:$A$32,B30,'Dashboard'!$B$26:$B$32,C30),"n.a."))</x:f>
      </x:c>
      <x:c r="J30" s="35" t="str">
        <x:f>IF(ISBLANK(A30),"",IF(AND(H30=1,COUNTIFS('Dashboard'!$A$26:$A$32,B30,'Dashboard'!$B$26:$B$32,C30,'Dashboard'!$H$26:$H$32,"Complete")=1),SUMIFS('Dashboard'!$D$26:$D$32,'Dashboard'!$A$26:$A$32,B30,'Dashboard'!$B$26:$B$32,C30),"n.a."))</x:f>
      </x:c>
      <x:c r="K30" s="31" t="str">
        <x:f>IF(ISBLANK(A30),"",IF(F30="No","Excluded",IF(OR(F30&lt;&gt;"Yes",COUNTIFS($A$13:$A$32,A30)&lt;&gt;1,COUNTIFS('Dashboard'!$A$13:$A$15,B30)&lt;&gt;1,H30&lt;&gt;1,ISBLANK(G30),ISBLANK(D30),ISBLANK(E30),NOT(ISNUMBER(D30)),NOT(ISNUMBER(E30)),NOT(ISNUMBER(I30)),NOT(ISNUMBER(J30)),D30&lt;0,E30&lt;0),"Unknown",IF(AND(D30&lt;=I30,E30&lt;=J30),"Met","Breach"))))</x:f>
      </x:c>
      <x:c r="L30" s="37" t="str">
        <x:f>IF(ISBLANK(A30),"",IF(AND(H30=1,COUNTIFS('Dashboard'!$A$26:$A$32,B30,'Dashboard'!$B$26:$B$32,C30,'Dashboard'!$H$26:$H$32,"Complete")=1),SUMIFS('Dashboard'!$F$26:$F$32,'Dashboard'!$A$26:$A$32,B30,'Dashboard'!$B$26:$B$32,C30),"n.a."))</x:f>
      </x:c>
      <x:c r="M30" s="30" t="str">
        <x:f>IF(ISBLANK(A30),"",IF(AND(H30=1,COUNTIFS('Dashboard'!$A$26:$A$32,B30,'Dashboard'!$B$26:$B$32,C30,'Dashboard'!$H$26:$H$32,"Complete")=1),SUMIFS('Dashboard'!$E$26:$E$32,'Dashboard'!$A$26:$A$32,B30,'Dashboard'!$B$26:$B$32,C30),"n.a."))</x:f>
      </x:c>
      <x:c r="N30" s="30" t="str">
        <x:f>IF(ISBLANK(A30),"",IF(K30="Breach",L30*M30,0))</x:f>
      </x:c>
    </x:row>
    <x:row r="31" ht="25" customHeight="1">
      <x:c r="A31" s="13"/>
      <x:c r="B31" s="13"/>
      <x:c r="C31" s="13"/>
      <x:c r="D31" s="33"/>
      <x:c r="E31" s="33"/>
      <x:c r="F31" s="13"/>
      <x:c r="G31" s="13"/>
      <x:c r="H31" s="31" t="str">
        <x:f>IF(ISBLANK(A31),"",COUNTIFS('Dashboard'!$A$26:$A$32,B31,'Dashboard'!$B$26:$B$32,C31))</x:f>
      </x:c>
      <x:c r="I31" s="35" t="str">
        <x:f>IF(ISBLANK(A31),"",IF(AND(H31=1,COUNTIFS('Dashboard'!$A$26:$A$32,B31,'Dashboard'!$B$26:$B$32,C31,'Dashboard'!$H$26:$H$32,"Complete")=1),SUMIFS('Dashboard'!$C$26:$C$32,'Dashboard'!$A$26:$A$32,B31,'Dashboard'!$B$26:$B$32,C31),"n.a."))</x:f>
      </x:c>
      <x:c r="J31" s="35" t="str">
        <x:f>IF(ISBLANK(A31),"",IF(AND(H31=1,COUNTIFS('Dashboard'!$A$26:$A$32,B31,'Dashboard'!$B$26:$B$32,C31,'Dashboard'!$H$26:$H$32,"Complete")=1),SUMIFS('Dashboard'!$D$26:$D$32,'Dashboard'!$A$26:$A$32,B31,'Dashboard'!$B$26:$B$32,C31),"n.a."))</x:f>
      </x:c>
      <x:c r="K31" s="31" t="str">
        <x:f>IF(ISBLANK(A31),"",IF(F31="No","Excluded",IF(OR(F31&lt;&gt;"Yes",COUNTIFS($A$13:$A$32,A31)&lt;&gt;1,COUNTIFS('Dashboard'!$A$13:$A$15,B31)&lt;&gt;1,H31&lt;&gt;1,ISBLANK(G31),ISBLANK(D31),ISBLANK(E31),NOT(ISNUMBER(D31)),NOT(ISNUMBER(E31)),NOT(ISNUMBER(I31)),NOT(ISNUMBER(J31)),D31&lt;0,E31&lt;0),"Unknown",IF(AND(D31&lt;=I31,E31&lt;=J31),"Met","Breach"))))</x:f>
      </x:c>
      <x:c r="L31" s="37" t="str">
        <x:f>IF(ISBLANK(A31),"",IF(AND(H31=1,COUNTIFS('Dashboard'!$A$26:$A$32,B31,'Dashboard'!$B$26:$B$32,C31,'Dashboard'!$H$26:$H$32,"Complete")=1),SUMIFS('Dashboard'!$F$26:$F$32,'Dashboard'!$A$26:$A$32,B31,'Dashboard'!$B$26:$B$32,C31),"n.a."))</x:f>
      </x:c>
      <x:c r="M31" s="30" t="str">
        <x:f>IF(ISBLANK(A31),"",IF(AND(H31=1,COUNTIFS('Dashboard'!$A$26:$A$32,B31,'Dashboard'!$B$26:$B$32,C31,'Dashboard'!$H$26:$H$32,"Complete")=1),SUMIFS('Dashboard'!$E$26:$E$32,'Dashboard'!$A$26:$A$32,B31,'Dashboard'!$B$26:$B$32,C31),"n.a."))</x:f>
      </x:c>
      <x:c r="N31" s="30" t="str">
        <x:f>IF(ISBLANK(A31),"",IF(K31="Breach",L31*M31,0))</x:f>
      </x:c>
    </x:row>
    <x:row r="32" ht="25" customHeight="1">
      <x:c r="A32" s="13"/>
      <x:c r="B32" s="13"/>
      <x:c r="C32" s="13"/>
      <x:c r="D32" s="33"/>
      <x:c r="E32" s="33"/>
      <x:c r="F32" s="13"/>
      <x:c r="G32" s="13"/>
      <x:c r="H32" s="31" t="str">
        <x:f>IF(ISBLANK(A32),"",COUNTIFS('Dashboard'!$A$26:$A$32,B32,'Dashboard'!$B$26:$B$32,C32))</x:f>
      </x:c>
      <x:c r="I32" s="35" t="str">
        <x:f>IF(ISBLANK(A32),"",IF(AND(H32=1,COUNTIFS('Dashboard'!$A$26:$A$32,B32,'Dashboard'!$B$26:$B$32,C32,'Dashboard'!$H$26:$H$32,"Complete")=1),SUMIFS('Dashboard'!$C$26:$C$32,'Dashboard'!$A$26:$A$32,B32,'Dashboard'!$B$26:$B$32,C32),"n.a."))</x:f>
      </x:c>
      <x:c r="J32" s="35" t="str">
        <x:f>IF(ISBLANK(A32),"",IF(AND(H32=1,COUNTIFS('Dashboard'!$A$26:$A$32,B32,'Dashboard'!$B$26:$B$32,C32,'Dashboard'!$H$26:$H$32,"Complete")=1),SUMIFS('Dashboard'!$D$26:$D$32,'Dashboard'!$A$26:$A$32,B32,'Dashboard'!$B$26:$B$32,C32),"n.a."))</x:f>
      </x:c>
      <x:c r="K32" s="31" t="str">
        <x:f>IF(ISBLANK(A32),"",IF(F32="No","Excluded",IF(OR(F32&lt;&gt;"Yes",COUNTIFS($A$13:$A$32,A32)&lt;&gt;1,COUNTIFS('Dashboard'!$A$13:$A$15,B32)&lt;&gt;1,H32&lt;&gt;1,ISBLANK(G32),ISBLANK(D32),ISBLANK(E32),NOT(ISNUMBER(D32)),NOT(ISNUMBER(E32)),NOT(ISNUMBER(I32)),NOT(ISNUMBER(J32)),D32&lt;0,E32&lt;0),"Unknown",IF(AND(D32&lt;=I32,E32&lt;=J32),"Met","Breach"))))</x:f>
      </x:c>
      <x:c r="L32" s="37" t="str">
        <x:f>IF(ISBLANK(A32),"",IF(AND(H32=1,COUNTIFS('Dashboard'!$A$26:$A$32,B32,'Dashboard'!$B$26:$B$32,C32,'Dashboard'!$H$26:$H$32,"Complete")=1),SUMIFS('Dashboard'!$F$26:$F$32,'Dashboard'!$A$26:$A$32,B32,'Dashboard'!$B$26:$B$32,C32),"n.a."))</x:f>
      </x:c>
      <x:c r="M32" s="30" t="str">
        <x:f>IF(ISBLANK(A32),"",IF(AND(H32=1,COUNTIFS('Dashboard'!$A$26:$A$32,B32,'Dashboard'!$B$26:$B$32,C32,'Dashboard'!$H$26:$H$32,"Complete")=1),SUMIFS('Dashboard'!$E$26:$E$32,'Dashboard'!$A$26:$A$32,B32,'Dashboard'!$B$26:$B$32,C32),"n.a."))</x:f>
      </x:c>
      <x:c r="N32" s="30" t="str">
        <x:f>IF(ISBLANK(A32),"",IF(K32="Breach",L32*M32,0))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0" t="str">
        <x:v>Hours are supplied measured values. This workbook does not infer business-hour clocks or pauses from timestamps.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20" t="str">
        <x:v>One complete account/priority match and one dashboard account are required. Unknown outcomes block account attainment.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</x:sheetData>
  <x:conditionalFormatting sqref="K13:K32">
    <x:cfRule type="containsText" dxfId="1" priority="1" operator="containsText" text="Incomplete"/>
    <x:cfRule type="containsText" dxfId="2" priority="2" operator="containsText" text="Unknown"/>
    <x:cfRule type="containsText" dxfId="3" priority="3" operator="containsText" text="Duplicate"/>
    <x:cfRule type="containsText" dxfId="4" priority="4" operator="containsText" text="Invalid"/>
    <x:cfRule type="containsText" dxfId="5" priority="5" operator="containsText" text="Overlap"/>
    <x:cfRule type="containsText" dxfId="6" priority="6" operator="containsText" text="Conflicting"/>
    <x:cfRule type="containsText" dxfId="7" priority="7" operator="containsText" text="Due"/>
    <x:cfRule type="containsText" dxfId="8" priority="8" operator="containsText" text="due"/>
    <x:cfRule type="containsText" dxfId="9" priority="9" operator="containsText" text="Pending"/>
    <x:cfRule type="containsText" dxfId="10" priority="10" operator="containsText" text="Awaiting"/>
    <x:cfRule type="containsText" dxfId="11" priority="11" operator="containsText" text="Unreviewed"/>
    <x:cfRule type="containsText" dxfId="12" priority="12" operator="containsText" text="Review"/>
  </x:conditionalFormatting>
  <x:dataValidations count="1">
    <x:dataValidation type="list" sqref="F13:F32">
      <x:formula1>"Yes,No"</x:formula1>
    </x:dataValidation>
  </x:dataValidations>
  <x:pageMargins left="0.7" right="0.7" top="0.75" bottom="0.75" header="0.3" footer="0.3"/>
</x:worksheet>
</file>