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Dashboard" sheetId="2" state="visible" r:id="rId2"/>
    <sheet name="Trend" sheetId="3" state="visible" r:id="rId3"/>
    <sheet name="Map" sheetId="4" state="visible" r:id="rId4"/>
    <sheet name="TB" sheetId="5" state="visible" r:id="rId5"/>
    <sheet name="Calc" sheetId="6" state="visible" r:id="rId6"/>
    <sheet name="Budget" sheetId="7" state="visible" r:id="rId7"/>
    <sheet name="Checks" sheetId="8" state="visible" r:id="rId8"/>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7">
    <font>
      <name val="Calibri"/>
      <family val="2"/>
      <color theme="1"/>
      <sz val="11"/>
      <scheme val="minor"/>
    </font>
    <font>
      <b val="1"/>
      <color rgb="002B4CFF"/>
      <sz val="14"/>
    </font>
    <font>
      <i val="1"/>
      <color rgb="005B6577"/>
    </font>
    <font>
      <b val="1"/>
      <color rgb="000B1220"/>
    </font>
    <font>
      <b val="1"/>
    </font>
    <font>
      <b val="1"/>
      <i val="1"/>
    </font>
    <font>
      <i val="1"/>
    </font>
  </fonts>
  <fills count="4">
    <fill>
      <patternFill/>
    </fill>
    <fill>
      <patternFill patternType="gray125"/>
    </fill>
    <fill>
      <patternFill patternType="solid">
        <fgColor rgb="00EAEEFF"/>
      </patternFill>
    </fill>
    <fill>
      <patternFill patternType="solid">
        <fgColor rgb="00FFFDF0"/>
      </patternFill>
    </fill>
  </fills>
  <borders count="2">
    <border>
      <left/>
      <right/>
      <top/>
      <bottom/>
      <diagonal/>
    </border>
    <border>
      <top style="thin">
        <color rgb="000B1220"/>
      </top>
    </border>
  </borders>
  <cellStyleXfs count="1">
    <xf numFmtId="0" fontId="0" fillId="0" borderId="0"/>
  </cellStyleXfs>
  <cellXfs count="2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49" fontId="0" fillId="3" borderId="0" pivotButton="0" quotePrefix="0" xfId="0"/>
    <xf numFmtId="0" fontId="3" fillId="2" borderId="0" applyAlignment="1" pivotButton="0" quotePrefix="0" xfId="0">
      <alignment vertical="center" wrapText="1"/>
    </xf>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0" fontId="6" fillId="0" borderId="0" pivotButton="0" quotePrefix="0" xfId="0"/>
    <xf numFmtId="0" fontId="0" fillId="3" borderId="0" pivotButton="0" quotePrefix="0" xfId="0"/>
    <xf numFmtId="49" fontId="3" fillId="2" borderId="0" applyAlignment="1" pivotButton="0" quotePrefix="0" xfId="0">
      <alignment vertical="center" wrapText="1"/>
    </xf>
    <xf numFmtId="164" fontId="0" fillId="3" borderId="0" pivotButton="0" quotePrefix="0" xfId="0"/>
    <xf numFmtId="0" fontId="4" fillId="0" borderId="1" pivotButton="0" quotePrefix="0" xfId="0"/>
    <xf numFmtId="164" fontId="4" fillId="0" borderId="1" pivotButton="0" quotePrefix="0" xfId="0"/>
    <xf numFmtId="0" fontId="5" fillId="0" borderId="0" pivotButton="0" quotePrefix="0" xfId="0"/>
    <xf numFmtId="165" fontId="0" fillId="3" borderId="0" pivotButton="0" quotePrefix="0" xfId="0"/>
    <xf numFmtId="0" fontId="4" fillId="3" borderId="1" pivotButton="0" quotePrefix="0" xfId="0"/>
    <xf numFmtId="165" fontId="4" fillId="3" borderId="1" pivotButton="0" quotePrefix="0" xfId="0"/>
    <xf numFmtId="165" fontId="4" fillId="0" borderId="1" pivotButton="0" quotePrefix="0" xfId="0"/>
    <xf numFmtId="166" fontId="0" fillId="3" borderId="0" pivotButton="0" quotePrefix="0" xfId="0"/>
    <xf numFmtId="2" fontId="0" fillId="3" borderId="0" pivotButton="0" quotePrefix="0" xfId="0"/>
  </cellXfs>
  <cellStyles count="1">
    <cellStyle name="Normal" xfId="0" builtinId="0" hidden="0"/>
  </cellStyles>
  <dxfs count="3">
    <dxf>
      <fill>
        <patternFill patternType="solid">
          <fgColor rgb="00DCF5E3"/>
        </patternFill>
      </fill>
    </dxf>
    <dxf>
      <fill>
        <patternFill patternType="solid">
          <fgColor rgb="00FFF1C7"/>
        </patternFill>
      </fill>
    </dxf>
    <dxf>
      <fill>
        <patternFill patternType="solid">
          <fgColor rgb="00FBDA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1" t="inlineStr">
        <is>
          <t>Financial dashboard template</t>
        </is>
      </c>
    </row>
    <row r="3">
      <c r="A3" s="2" t="inlineStr">
        <is>
          <t>1. TB: paste a trial balance export with one row per account: Account, Name, Opening balance (the day before the first month), then the net change for each month (debits positive, credits negative). Change the month labels in row 1 to yours (yyyy-mm). Keep the formulas in columns C and D.</t>
        </is>
      </c>
    </row>
    <row r="4">
      <c r="A4" s="2" t="inlineStr">
        <is>
          <t>2. Map: list every account once with its line. Any account missing shows as UNMAPPED in TB column C and is counted on the Checks sheet.</t>
        </is>
      </c>
    </row>
    <row r="5">
      <c r="A5" s="2" t="inlineStr">
        <is>
          <t>3. Calc builds the P&amp;L, the closing balance sheet, the cash flow (indirect method) and the ratios for every month with SUMIFS on the mapped line. DSO and DPO use the last three months and 90 days.</t>
        </is>
      </c>
    </row>
    <row r="6">
      <c r="A6" s="2" t="inlineStr">
        <is>
          <t>4. Budget: type the budget by month in the yellow cells, and for each line whether up or down is good and the Watch tolerance.</t>
        </is>
      </c>
    </row>
    <row r="7">
      <c r="A7" s="2" t="inlineStr">
        <is>
          <t>5. Dashboard: type the month in cell B2. Ten figures show actual, budget, variance, variance %, prior year and a status: On track if on or better than budget, Watch if worse by up to the tolerance, Off track beyond it.</t>
        </is>
      </c>
    </row>
    <row r="8">
      <c r="A8" s="2" t="inlineStr">
        <is>
          <t>6. Trend: the 13 months ending with the month in Dashboard B2, one column per month.</t>
        </is>
      </c>
    </row>
    <row r="9">
      <c r="A9" s="2" t="inlineStr">
        <is>
          <t>7. Checks: every row must read 0 before anyone reads the dashboard: the trial balance balances, nothing is unmapped, net income and EBITDA agree with the ledger, and the cash flow lands on the cash balance.</t>
        </is>
      </c>
    </row>
    <row r="10">
      <c r="A10" s="2" t="inlineStr">
        <is>
          <t>EBITDA is not a US GAAP measure; here it is gross profit less operating expenses, with depreciation and amortization mapped to their own line.</t>
        </is>
      </c>
    </row>
    <row r="11">
      <c r="A11" s="2" t="inlineStr">
        <is>
          <t>The sample rows are an example company. Replace them with your own; the yellow cells are the ones you are meant to change.</t>
        </is>
      </c>
    </row>
    <row r="13">
      <c r="A13" s="3" t="inlineStr">
        <is>
          <t>Made by Covirage. Upload your own export at covirage.ai and every figure is computed and traced to its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3" customWidth="1" min="4" max="4"/>
    <col width="11" customWidth="1" min="5" max="5"/>
    <col width="14" customWidth="1" min="6" max="6"/>
    <col width="11" customWidth="1" min="7" max="7"/>
  </cols>
  <sheetData>
    <row r="1">
      <c r="A1" s="1" t="inlineStr">
        <is>
          <t>Financial dashboard</t>
        </is>
      </c>
    </row>
    <row r="2">
      <c r="A2" t="inlineStr">
        <is>
          <t>Month (yyyy-mm)</t>
        </is>
      </c>
      <c r="B2" s="4" t="inlineStr">
        <is>
          <t>2026-06</t>
        </is>
      </c>
    </row>
    <row r="4">
      <c r="A4" s="5" t="inlineStr">
        <is>
          <t>Figure</t>
        </is>
      </c>
      <c r="B4" s="5" t="inlineStr">
        <is>
          <t>Actual</t>
        </is>
      </c>
      <c r="C4" s="5" t="inlineStr">
        <is>
          <t>Budget</t>
        </is>
      </c>
      <c r="D4" s="5" t="inlineStr">
        <is>
          <t>Variance</t>
        </is>
      </c>
      <c r="E4" s="5" t="inlineStr">
        <is>
          <t>Variance %</t>
        </is>
      </c>
      <c r="F4" s="5" t="inlineStr">
        <is>
          <t>Prior year</t>
        </is>
      </c>
      <c r="G4" s="5" t="inlineStr">
        <is>
          <t>Status</t>
        </is>
      </c>
    </row>
    <row r="5">
      <c r="A5" t="inlineStr">
        <is>
          <t>Revenue</t>
        </is>
      </c>
      <c r="B5" s="6">
        <f>INDEX(Calc!$C$5:$Q$5,MATCH($B$2,Calc!$C$4:$Q$4,0))</f>
        <v/>
      </c>
      <c r="C5" s="6">
        <f>IFERROR(INDEX(Budget!$D$5:$O$5,MATCH($B$2,Budget!$D$4:$O$4,0)),0)</f>
        <v/>
      </c>
      <c r="D5" s="6">
        <f>IF(C5=0,"",B5-C5)</f>
        <v/>
      </c>
      <c r="E5" s="7">
        <f>IF(C5=0,"",(B5-C5)/ABS(C5))</f>
        <v/>
      </c>
      <c r="F5" s="6">
        <f>IF(MATCH($B$2,Calc!$C$4:$Q$4,0)-12&lt;1,"",INDEX(Calc!$C$5:$Q$5,MATCH($B$2,Calc!$C$4:$Q$4,0)-12))</f>
        <v/>
      </c>
      <c r="G5">
        <f>IF(C5=0,"No budget",IF(IF(Budget!$B$5="up",C5-B5,B5-C5)/ABS(C5)&lt;=0,"On track",IF(IF(Budget!$B$5="up",C5-B5,B5-C5)/ABS(C5)&lt;=Budget!$C$5,"Watch","Off track")))</f>
        <v/>
      </c>
    </row>
    <row r="6">
      <c r="A6" t="inlineStr">
        <is>
          <t>Gross margin</t>
        </is>
      </c>
      <c r="B6" s="7">
        <f>INDEX(Calc!$C$8:$Q$8,MATCH($B$2,Calc!$C$4:$Q$4,0))</f>
        <v/>
      </c>
      <c r="C6" s="7">
        <f>IFERROR(INDEX(Budget!$D$8:$O$8,MATCH($B$2,Budget!$D$4:$O$4,0)),0)</f>
        <v/>
      </c>
      <c r="D6" s="7">
        <f>IF(C6=0,"",B6-C6)</f>
        <v/>
      </c>
      <c r="E6" s="7">
        <f>IF(C6=0,"",(B6-C6)/ABS(C6))</f>
        <v/>
      </c>
      <c r="F6" s="7">
        <f>IF(MATCH($B$2,Calc!$C$4:$Q$4,0)-12&lt;1,"",INDEX(Calc!$C$8:$Q$8,MATCH($B$2,Calc!$C$4:$Q$4,0)-12))</f>
        <v/>
      </c>
      <c r="G6">
        <f>IF(C6=0,"No budget",IF(IF(Budget!$B$8="up",C6-B6,B6-C6)/ABS(C6)&lt;=0,"On track",IF(IF(Budget!$B$8="up",C6-B6,B6-C6)/ABS(C6)&lt;=Budget!$C$8,"Watch","Off track")))</f>
        <v/>
      </c>
    </row>
    <row r="7">
      <c r="A7" t="inlineStr">
        <is>
          <t>EBITDA</t>
        </is>
      </c>
      <c r="B7" s="6">
        <f>INDEX(Calc!$C$10:$Q$10,MATCH($B$2,Calc!$C$4:$Q$4,0))</f>
        <v/>
      </c>
      <c r="C7" s="6">
        <f>IFERROR(INDEX(Budget!$D$10:$O$10,MATCH($B$2,Budget!$D$4:$O$4,0)),0)</f>
        <v/>
      </c>
      <c r="D7" s="6">
        <f>IF(C7=0,"",B7-C7)</f>
        <v/>
      </c>
      <c r="E7" s="7">
        <f>IF(C7=0,"",(B7-C7)/ABS(C7))</f>
        <v/>
      </c>
      <c r="F7" s="6">
        <f>IF(MATCH($B$2,Calc!$C$4:$Q$4,0)-12&lt;1,"",INDEX(Calc!$C$10:$Q$10,MATCH($B$2,Calc!$C$4:$Q$4,0)-12))</f>
        <v/>
      </c>
      <c r="G7">
        <f>IF(C7=0,"No budget",IF(IF(Budget!$B$10="up",C7-B7,B7-C7)/ABS(C7)&lt;=0,"On track",IF(IF(Budget!$B$10="up",C7-B7,B7-C7)/ABS(C7)&lt;=Budget!$C$10,"Watch","Off track")))</f>
        <v/>
      </c>
    </row>
    <row r="8">
      <c r="A8" t="inlineStr">
        <is>
          <t>EBITDA margin</t>
        </is>
      </c>
      <c r="B8" s="7">
        <f>INDEX(Calc!$C$11:$Q$11,MATCH($B$2,Calc!$C$4:$Q$4,0))</f>
        <v/>
      </c>
      <c r="C8" s="7">
        <f>IFERROR(INDEX(Budget!$D$11:$O$11,MATCH($B$2,Budget!$D$4:$O$4,0)),0)</f>
        <v/>
      </c>
      <c r="D8" s="7">
        <f>IF(C8=0,"",B8-C8)</f>
        <v/>
      </c>
      <c r="E8" s="7">
        <f>IF(C8=0,"",(B8-C8)/ABS(C8))</f>
        <v/>
      </c>
      <c r="F8" s="7">
        <f>IF(MATCH($B$2,Calc!$C$4:$Q$4,0)-12&lt;1,"",INDEX(Calc!$C$11:$Q$11,MATCH($B$2,Calc!$C$4:$Q$4,0)-12))</f>
        <v/>
      </c>
      <c r="G8">
        <f>IF(C8=0,"No budget",IF(IF(Budget!$B$11="up",C8-B8,B8-C8)/ABS(C8)&lt;=0,"On track",IF(IF(Budget!$B$11="up",C8-B8,B8-C8)/ABS(C8)&lt;=Budget!$C$11,"Watch","Off track")))</f>
        <v/>
      </c>
    </row>
    <row r="9">
      <c r="A9" t="inlineStr">
        <is>
          <t>Operating cash flow</t>
        </is>
      </c>
      <c r="B9" s="6">
        <f>INDEX(Calc!$C$33:$Q$33,MATCH($B$2,Calc!$C$4:$Q$4,0))</f>
        <v/>
      </c>
      <c r="C9" s="6">
        <f>IFERROR(INDEX(Budget!$D$12:$O$12,MATCH($B$2,Budget!$D$4:$O$4,0)),0)</f>
        <v/>
      </c>
      <c r="D9" s="6">
        <f>IF(C9=0,"",B9-C9)</f>
        <v/>
      </c>
      <c r="E9" s="7">
        <f>IF(C9=0,"",(B9-C9)/ABS(C9))</f>
        <v/>
      </c>
      <c r="F9" s="6">
        <f>IF(MATCH($B$2,Calc!$C$4:$Q$4,0)-12&lt;1,"",INDEX(Calc!$C$33:$Q$33,MATCH($B$2,Calc!$C$4:$Q$4,0)-12))</f>
        <v/>
      </c>
      <c r="G9">
        <f>IF(C9=0,"No budget",IF(IF(Budget!$B$12="up",C9-B9,B9-C9)/ABS(C9)&lt;=0,"On track",IF(IF(Budget!$B$12="up",C9-B9,B9-C9)/ABS(C9)&lt;=Budget!$C$12,"Watch","Off track")))</f>
        <v/>
      </c>
    </row>
    <row r="10">
      <c r="A10" t="inlineStr">
        <is>
          <t>Free cash flow</t>
        </is>
      </c>
      <c r="B10" s="6">
        <f>INDEX(Calc!$C$35:$Q$35,MATCH($B$2,Calc!$C$4:$Q$4,0))</f>
        <v/>
      </c>
      <c r="C10" s="6">
        <f>IFERROR(INDEX(Budget!$D$14:$O$14,MATCH($B$2,Budget!$D$4:$O$4,0)),0)</f>
        <v/>
      </c>
      <c r="D10" s="6">
        <f>IF(C10=0,"",B10-C10)</f>
        <v/>
      </c>
      <c r="E10" s="7">
        <f>IF(C10=0,"",(B10-C10)/ABS(C10))</f>
        <v/>
      </c>
      <c r="F10" s="6">
        <f>IF(MATCH($B$2,Calc!$C$4:$Q$4,0)-12&lt;1,"",INDEX(Calc!$C$35:$Q$35,MATCH($B$2,Calc!$C$4:$Q$4,0)-12))</f>
        <v/>
      </c>
      <c r="G10">
        <f>IF(C10=0,"No budget",IF(IF(Budget!$B$14="up",C10-B10,B10-C10)/ABS(C10)&lt;=0,"On track",IF(IF(Budget!$B$14="up",C10-B10,B10-C10)/ABS(C10)&lt;=Budget!$C$14,"Watch","Off track")))</f>
        <v/>
      </c>
    </row>
    <row r="11">
      <c r="A11" t="inlineStr">
        <is>
          <t>Closing cash</t>
        </is>
      </c>
      <c r="B11" s="6">
        <f>INDEX(Calc!$C$17:$Q$17,MATCH($B$2,Calc!$C$4:$Q$4,0))</f>
        <v/>
      </c>
      <c r="C11" s="6">
        <f>IFERROR(INDEX(Budget!$D$15:$O$15,MATCH($B$2,Budget!$D$4:$O$4,0)),0)</f>
        <v/>
      </c>
      <c r="D11" s="6">
        <f>IF(C11=0,"",B11-C11)</f>
        <v/>
      </c>
      <c r="E11" s="7">
        <f>IF(C11=0,"",(B11-C11)/ABS(C11))</f>
        <v/>
      </c>
      <c r="F11" s="6">
        <f>IF(MATCH($B$2,Calc!$C$4:$Q$4,0)-12&lt;1,"",INDEX(Calc!$C$17:$Q$17,MATCH($B$2,Calc!$C$4:$Q$4,0)-12))</f>
        <v/>
      </c>
      <c r="G11">
        <f>IF(C11=0,"No budget",IF(IF(Budget!$B$15="up",C11-B11,B11-C11)/ABS(C11)&lt;=0,"On track",IF(IF(Budget!$B$15="up",C11-B11,B11-C11)/ABS(C11)&lt;=Budget!$C$15,"Watch","Off track")))</f>
        <v/>
      </c>
    </row>
    <row r="12">
      <c r="A12" t="inlineStr">
        <is>
          <t>DSO (days)</t>
        </is>
      </c>
      <c r="B12" s="8">
        <f>INDEX(Calc!$C$43:$Q$43,MATCH($B$2,Calc!$C$4:$Q$4,0))</f>
        <v/>
      </c>
      <c r="C12" s="8">
        <f>IFERROR(INDEX(Budget!$D$16:$O$16,MATCH($B$2,Budget!$D$4:$O$4,0)),0)</f>
        <v/>
      </c>
      <c r="D12" s="8">
        <f>IF(C12=0,"",B12-C12)</f>
        <v/>
      </c>
      <c r="E12" s="7">
        <f>IF(C12=0,"",(B12-C12)/ABS(C12))</f>
        <v/>
      </c>
      <c r="F12" s="8">
        <f>IF(MATCH($B$2,Calc!$C$4:$Q$4,0)-12&lt;1,"",INDEX(Calc!$C$43:$Q$43,MATCH($B$2,Calc!$C$4:$Q$4,0)-12))</f>
        <v/>
      </c>
      <c r="G12">
        <f>IF(C12=0,"No budget",IF(IF(Budget!$B$16="up",C12-B12,B12-C12)/ABS(C12)&lt;=0,"On track",IF(IF(Budget!$B$16="up",C12-B12,B12-C12)/ABS(C12)&lt;=Budget!$C$16,"Watch","Off track")))</f>
        <v/>
      </c>
    </row>
    <row r="13">
      <c r="A13" t="inlineStr">
        <is>
          <t>DPO (days)</t>
        </is>
      </c>
      <c r="B13" s="8">
        <f>INDEX(Calc!$C$44:$Q$44,MATCH($B$2,Calc!$C$4:$Q$4,0))</f>
        <v/>
      </c>
      <c r="C13" s="8">
        <f>IFERROR(INDEX(Budget!$D$17:$O$17,MATCH($B$2,Budget!$D$4:$O$4,0)),0)</f>
        <v/>
      </c>
      <c r="D13" s="8">
        <f>IF(C13=0,"",B13-C13)</f>
        <v/>
      </c>
      <c r="E13" s="7">
        <f>IF(C13=0,"",(B13-C13)/ABS(C13))</f>
        <v/>
      </c>
      <c r="F13" s="8">
        <f>IF(MATCH($B$2,Calc!$C$4:$Q$4,0)-12&lt;1,"",INDEX(Calc!$C$44:$Q$44,MATCH($B$2,Calc!$C$4:$Q$4,0)-12))</f>
        <v/>
      </c>
      <c r="G13">
        <f>IF(C13=0,"No budget",IF(IF(Budget!$B$17="up",C13-B13,B13-C13)/ABS(C13)&lt;=0,"On track",IF(IF(Budget!$B$17="up",C13-B13,B13-C13)/ABS(C13)&lt;=Budget!$C$17,"Watch","Off track")))</f>
        <v/>
      </c>
    </row>
    <row r="14">
      <c r="A14" t="inlineStr">
        <is>
          <t>Current ratio</t>
        </is>
      </c>
      <c r="B14" s="9">
        <f>INDEX(Calc!$C$45:$Q$45,MATCH($B$2,Calc!$C$4:$Q$4,0))</f>
        <v/>
      </c>
      <c r="C14" s="9">
        <f>IFERROR(INDEX(Budget!$D$18:$O$18,MATCH($B$2,Budget!$D$4:$O$4,0)),0)</f>
        <v/>
      </c>
      <c r="D14" s="9">
        <f>IF(C14=0,"",B14-C14)</f>
        <v/>
      </c>
      <c r="E14" s="7">
        <f>IF(C14=0,"",(B14-C14)/ABS(C14))</f>
        <v/>
      </c>
      <c r="F14" s="9">
        <f>IF(MATCH($B$2,Calc!$C$4:$Q$4,0)-12&lt;1,"",INDEX(Calc!$C$45:$Q$45,MATCH($B$2,Calc!$C$4:$Q$4,0)-12))</f>
        <v/>
      </c>
      <c r="G14">
        <f>IF(C14=0,"No budget",IF(IF(Budget!$B$18="up",C14-B14,B14-C14)/ABS(C14)&lt;=0,"On track",IF(IF(Budget!$B$18="up",C14-B14,B14-C14)/ABS(C14)&lt;=Budget!$C$18,"Watch","Off track")))</f>
        <v/>
      </c>
    </row>
    <row r="16">
      <c r="A16" t="inlineStr">
        <is>
          <t>On track</t>
        </is>
      </c>
      <c r="B16">
        <f>COUNTIFS($G$5:$G$14,A16)</f>
        <v/>
      </c>
    </row>
    <row r="17">
      <c r="A17" t="inlineStr">
        <is>
          <t>Watch</t>
        </is>
      </c>
      <c r="B17">
        <f>COUNTIFS($G$5:$G$14,A17)</f>
        <v/>
      </c>
    </row>
    <row r="18">
      <c r="A18" t="inlineStr">
        <is>
          <t>Off track</t>
        </is>
      </c>
      <c r="B18">
        <f>COUNTIFS($G$5:$G$14,A18)</f>
        <v/>
      </c>
    </row>
    <row r="19">
      <c r="A19" s="10" t="inlineStr">
        <is>
          <t>Checks that are not 0 (must be 0)</t>
        </is>
      </c>
      <c r="B19">
        <f>Checks!B13</f>
        <v/>
      </c>
    </row>
    <row r="21">
      <c r="A21" s="3" t="inlineStr">
        <is>
          <t>Variance = actual - budget; on margins it is in percentage points. DSO and DPO use the last three months and 90 days.</t>
        </is>
      </c>
    </row>
    <row r="22">
      <c r="A22" s="3" t="inlineStr">
        <is>
          <t>EBITDA is a non-GAAP measure: gross profit less operating expenses, before depreciation, amortization, interest and tax.</t>
        </is>
      </c>
    </row>
  </sheetData>
  <conditionalFormatting sqref="G5:G14">
    <cfRule type="cellIs" priority="1" operator="equal" dxfId="0">
      <formula>"On track"</formula>
    </cfRule>
    <cfRule type="cellIs" priority="2" operator="equal" dxfId="1">
      <formula>"Watch"</formula>
    </cfRule>
    <cfRule type="cellIs" priority="3" operator="equal" dxfId="2">
      <formula>"Off track"</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c r="A1" s="1" t="inlineStr">
        <is>
          <t>Trend</t>
        </is>
      </c>
    </row>
    <row r="2">
      <c r="A2" s="3" t="inlineStr">
        <is>
          <t>The 13 months ending with the month in Dashboard B2. Same figures as the dashboard, one column per month.</t>
        </is>
      </c>
    </row>
    <row r="4">
      <c r="A4" s="5" t="inlineStr">
        <is>
          <t>Figure</t>
        </is>
      </c>
      <c r="B4" s="5">
        <f>IFERROR(IF(MATCH(Dashboard!$B$2,Calc!$C$4:$Q$4,0)-13+1&lt;1,"",INDEX(Calc!$C$4:$Q$4,MATCH(Dashboard!$B$2,Calc!$C$4:$Q$4,0)-13+1)),"")</f>
        <v/>
      </c>
      <c r="C4" s="5">
        <f>IFERROR(IF(MATCH(Dashboard!$B$2,Calc!$C$4:$Q$4,0)-13+2&lt;1,"",INDEX(Calc!$C$4:$Q$4,MATCH(Dashboard!$B$2,Calc!$C$4:$Q$4,0)-13+2)),"")</f>
        <v/>
      </c>
      <c r="D4" s="5">
        <f>IFERROR(IF(MATCH(Dashboard!$B$2,Calc!$C$4:$Q$4,0)-13+3&lt;1,"",INDEX(Calc!$C$4:$Q$4,MATCH(Dashboard!$B$2,Calc!$C$4:$Q$4,0)-13+3)),"")</f>
        <v/>
      </c>
      <c r="E4" s="5">
        <f>IFERROR(IF(MATCH(Dashboard!$B$2,Calc!$C$4:$Q$4,0)-13+4&lt;1,"",INDEX(Calc!$C$4:$Q$4,MATCH(Dashboard!$B$2,Calc!$C$4:$Q$4,0)-13+4)),"")</f>
        <v/>
      </c>
      <c r="F4" s="5">
        <f>IFERROR(IF(MATCH(Dashboard!$B$2,Calc!$C$4:$Q$4,0)-13+5&lt;1,"",INDEX(Calc!$C$4:$Q$4,MATCH(Dashboard!$B$2,Calc!$C$4:$Q$4,0)-13+5)),"")</f>
        <v/>
      </c>
      <c r="G4" s="5">
        <f>IFERROR(IF(MATCH(Dashboard!$B$2,Calc!$C$4:$Q$4,0)-13+6&lt;1,"",INDEX(Calc!$C$4:$Q$4,MATCH(Dashboard!$B$2,Calc!$C$4:$Q$4,0)-13+6)),"")</f>
        <v/>
      </c>
      <c r="H4" s="5">
        <f>IFERROR(IF(MATCH(Dashboard!$B$2,Calc!$C$4:$Q$4,0)-13+7&lt;1,"",INDEX(Calc!$C$4:$Q$4,MATCH(Dashboard!$B$2,Calc!$C$4:$Q$4,0)-13+7)),"")</f>
        <v/>
      </c>
      <c r="I4" s="5">
        <f>IFERROR(IF(MATCH(Dashboard!$B$2,Calc!$C$4:$Q$4,0)-13+8&lt;1,"",INDEX(Calc!$C$4:$Q$4,MATCH(Dashboard!$B$2,Calc!$C$4:$Q$4,0)-13+8)),"")</f>
        <v/>
      </c>
      <c r="J4" s="5">
        <f>IFERROR(IF(MATCH(Dashboard!$B$2,Calc!$C$4:$Q$4,0)-13+9&lt;1,"",INDEX(Calc!$C$4:$Q$4,MATCH(Dashboard!$B$2,Calc!$C$4:$Q$4,0)-13+9)),"")</f>
        <v/>
      </c>
      <c r="K4" s="5">
        <f>IFERROR(IF(MATCH(Dashboard!$B$2,Calc!$C$4:$Q$4,0)-13+10&lt;1,"",INDEX(Calc!$C$4:$Q$4,MATCH(Dashboard!$B$2,Calc!$C$4:$Q$4,0)-13+10)),"")</f>
        <v/>
      </c>
      <c r="L4" s="5">
        <f>IFERROR(IF(MATCH(Dashboard!$B$2,Calc!$C$4:$Q$4,0)-13+11&lt;1,"",INDEX(Calc!$C$4:$Q$4,MATCH(Dashboard!$B$2,Calc!$C$4:$Q$4,0)-13+11)),"")</f>
        <v/>
      </c>
      <c r="M4" s="5">
        <f>IFERROR(IF(MATCH(Dashboard!$B$2,Calc!$C$4:$Q$4,0)-13+12&lt;1,"",INDEX(Calc!$C$4:$Q$4,MATCH(Dashboard!$B$2,Calc!$C$4:$Q$4,0)-13+12)),"")</f>
        <v/>
      </c>
      <c r="N4" s="5">
        <f>IFERROR(IF(MATCH(Dashboard!$B$2,Calc!$C$4:$Q$4,0)-13+13&lt;1,"",INDEX(Calc!$C$4:$Q$4,MATCH(Dashboard!$B$2,Calc!$C$4:$Q$4,0)-13+13)),"")</f>
        <v/>
      </c>
    </row>
    <row r="5">
      <c r="A5" t="inlineStr">
        <is>
          <t>Revenue</t>
        </is>
      </c>
      <c r="B5" s="6">
        <f>IF(B$4="","",INDEX(Calc!$C$5:$Q$5,MATCH(B$4,Calc!$C$4:$Q$4,0)))</f>
        <v/>
      </c>
      <c r="C5" s="6">
        <f>IF(C$4="","",INDEX(Calc!$C$5:$Q$5,MATCH(C$4,Calc!$C$4:$Q$4,0)))</f>
        <v/>
      </c>
      <c r="D5" s="6">
        <f>IF(D$4="","",INDEX(Calc!$C$5:$Q$5,MATCH(D$4,Calc!$C$4:$Q$4,0)))</f>
        <v/>
      </c>
      <c r="E5" s="6">
        <f>IF(E$4="","",INDEX(Calc!$C$5:$Q$5,MATCH(E$4,Calc!$C$4:$Q$4,0)))</f>
        <v/>
      </c>
      <c r="F5" s="6">
        <f>IF(F$4="","",INDEX(Calc!$C$5:$Q$5,MATCH(F$4,Calc!$C$4:$Q$4,0)))</f>
        <v/>
      </c>
      <c r="G5" s="6">
        <f>IF(G$4="","",INDEX(Calc!$C$5:$Q$5,MATCH(G$4,Calc!$C$4:$Q$4,0)))</f>
        <v/>
      </c>
      <c r="H5" s="6">
        <f>IF(H$4="","",INDEX(Calc!$C$5:$Q$5,MATCH(H$4,Calc!$C$4:$Q$4,0)))</f>
        <v/>
      </c>
      <c r="I5" s="6">
        <f>IF(I$4="","",INDEX(Calc!$C$5:$Q$5,MATCH(I$4,Calc!$C$4:$Q$4,0)))</f>
        <v/>
      </c>
      <c r="J5" s="6">
        <f>IF(J$4="","",INDEX(Calc!$C$5:$Q$5,MATCH(J$4,Calc!$C$4:$Q$4,0)))</f>
        <v/>
      </c>
      <c r="K5" s="6">
        <f>IF(K$4="","",INDEX(Calc!$C$5:$Q$5,MATCH(K$4,Calc!$C$4:$Q$4,0)))</f>
        <v/>
      </c>
      <c r="L5" s="6">
        <f>IF(L$4="","",INDEX(Calc!$C$5:$Q$5,MATCH(L$4,Calc!$C$4:$Q$4,0)))</f>
        <v/>
      </c>
      <c r="M5" s="6">
        <f>IF(M$4="","",INDEX(Calc!$C$5:$Q$5,MATCH(M$4,Calc!$C$4:$Q$4,0)))</f>
        <v/>
      </c>
      <c r="N5" s="6">
        <f>IF(N$4="","",INDEX(Calc!$C$5:$Q$5,MATCH(N$4,Calc!$C$4:$Q$4,0)))</f>
        <v/>
      </c>
    </row>
    <row r="6">
      <c r="A6" t="inlineStr">
        <is>
          <t>Gross margin</t>
        </is>
      </c>
      <c r="B6" s="7">
        <f>IF(B$4="","",INDEX(Calc!$C$8:$Q$8,MATCH(B$4,Calc!$C$4:$Q$4,0)))</f>
        <v/>
      </c>
      <c r="C6" s="7">
        <f>IF(C$4="","",INDEX(Calc!$C$8:$Q$8,MATCH(C$4,Calc!$C$4:$Q$4,0)))</f>
        <v/>
      </c>
      <c r="D6" s="7">
        <f>IF(D$4="","",INDEX(Calc!$C$8:$Q$8,MATCH(D$4,Calc!$C$4:$Q$4,0)))</f>
        <v/>
      </c>
      <c r="E6" s="7">
        <f>IF(E$4="","",INDEX(Calc!$C$8:$Q$8,MATCH(E$4,Calc!$C$4:$Q$4,0)))</f>
        <v/>
      </c>
      <c r="F6" s="7">
        <f>IF(F$4="","",INDEX(Calc!$C$8:$Q$8,MATCH(F$4,Calc!$C$4:$Q$4,0)))</f>
        <v/>
      </c>
      <c r="G6" s="7">
        <f>IF(G$4="","",INDEX(Calc!$C$8:$Q$8,MATCH(G$4,Calc!$C$4:$Q$4,0)))</f>
        <v/>
      </c>
      <c r="H6" s="7">
        <f>IF(H$4="","",INDEX(Calc!$C$8:$Q$8,MATCH(H$4,Calc!$C$4:$Q$4,0)))</f>
        <v/>
      </c>
      <c r="I6" s="7">
        <f>IF(I$4="","",INDEX(Calc!$C$8:$Q$8,MATCH(I$4,Calc!$C$4:$Q$4,0)))</f>
        <v/>
      </c>
      <c r="J6" s="7">
        <f>IF(J$4="","",INDEX(Calc!$C$8:$Q$8,MATCH(J$4,Calc!$C$4:$Q$4,0)))</f>
        <v/>
      </c>
      <c r="K6" s="7">
        <f>IF(K$4="","",INDEX(Calc!$C$8:$Q$8,MATCH(K$4,Calc!$C$4:$Q$4,0)))</f>
        <v/>
      </c>
      <c r="L6" s="7">
        <f>IF(L$4="","",INDEX(Calc!$C$8:$Q$8,MATCH(L$4,Calc!$C$4:$Q$4,0)))</f>
        <v/>
      </c>
      <c r="M6" s="7">
        <f>IF(M$4="","",INDEX(Calc!$C$8:$Q$8,MATCH(M$4,Calc!$C$4:$Q$4,0)))</f>
        <v/>
      </c>
      <c r="N6" s="7">
        <f>IF(N$4="","",INDEX(Calc!$C$8:$Q$8,MATCH(N$4,Calc!$C$4:$Q$4,0)))</f>
        <v/>
      </c>
    </row>
    <row r="7">
      <c r="A7" t="inlineStr">
        <is>
          <t>EBITDA</t>
        </is>
      </c>
      <c r="B7" s="6">
        <f>IF(B$4="","",INDEX(Calc!$C$10:$Q$10,MATCH(B$4,Calc!$C$4:$Q$4,0)))</f>
        <v/>
      </c>
      <c r="C7" s="6">
        <f>IF(C$4="","",INDEX(Calc!$C$10:$Q$10,MATCH(C$4,Calc!$C$4:$Q$4,0)))</f>
        <v/>
      </c>
      <c r="D7" s="6">
        <f>IF(D$4="","",INDEX(Calc!$C$10:$Q$10,MATCH(D$4,Calc!$C$4:$Q$4,0)))</f>
        <v/>
      </c>
      <c r="E7" s="6">
        <f>IF(E$4="","",INDEX(Calc!$C$10:$Q$10,MATCH(E$4,Calc!$C$4:$Q$4,0)))</f>
        <v/>
      </c>
      <c r="F7" s="6">
        <f>IF(F$4="","",INDEX(Calc!$C$10:$Q$10,MATCH(F$4,Calc!$C$4:$Q$4,0)))</f>
        <v/>
      </c>
      <c r="G7" s="6">
        <f>IF(G$4="","",INDEX(Calc!$C$10:$Q$10,MATCH(G$4,Calc!$C$4:$Q$4,0)))</f>
        <v/>
      </c>
      <c r="H7" s="6">
        <f>IF(H$4="","",INDEX(Calc!$C$10:$Q$10,MATCH(H$4,Calc!$C$4:$Q$4,0)))</f>
        <v/>
      </c>
      <c r="I7" s="6">
        <f>IF(I$4="","",INDEX(Calc!$C$10:$Q$10,MATCH(I$4,Calc!$C$4:$Q$4,0)))</f>
        <v/>
      </c>
      <c r="J7" s="6">
        <f>IF(J$4="","",INDEX(Calc!$C$10:$Q$10,MATCH(J$4,Calc!$C$4:$Q$4,0)))</f>
        <v/>
      </c>
      <c r="K7" s="6">
        <f>IF(K$4="","",INDEX(Calc!$C$10:$Q$10,MATCH(K$4,Calc!$C$4:$Q$4,0)))</f>
        <v/>
      </c>
      <c r="L7" s="6">
        <f>IF(L$4="","",INDEX(Calc!$C$10:$Q$10,MATCH(L$4,Calc!$C$4:$Q$4,0)))</f>
        <v/>
      </c>
      <c r="M7" s="6">
        <f>IF(M$4="","",INDEX(Calc!$C$10:$Q$10,MATCH(M$4,Calc!$C$4:$Q$4,0)))</f>
        <v/>
      </c>
      <c r="N7" s="6">
        <f>IF(N$4="","",INDEX(Calc!$C$10:$Q$10,MATCH(N$4,Calc!$C$4:$Q$4,0)))</f>
        <v/>
      </c>
    </row>
    <row r="8">
      <c r="A8" t="inlineStr">
        <is>
          <t>EBITDA margin</t>
        </is>
      </c>
      <c r="B8" s="7">
        <f>IF(B$4="","",INDEX(Calc!$C$11:$Q$11,MATCH(B$4,Calc!$C$4:$Q$4,0)))</f>
        <v/>
      </c>
      <c r="C8" s="7">
        <f>IF(C$4="","",INDEX(Calc!$C$11:$Q$11,MATCH(C$4,Calc!$C$4:$Q$4,0)))</f>
        <v/>
      </c>
      <c r="D8" s="7">
        <f>IF(D$4="","",INDEX(Calc!$C$11:$Q$11,MATCH(D$4,Calc!$C$4:$Q$4,0)))</f>
        <v/>
      </c>
      <c r="E8" s="7">
        <f>IF(E$4="","",INDEX(Calc!$C$11:$Q$11,MATCH(E$4,Calc!$C$4:$Q$4,0)))</f>
        <v/>
      </c>
      <c r="F8" s="7">
        <f>IF(F$4="","",INDEX(Calc!$C$11:$Q$11,MATCH(F$4,Calc!$C$4:$Q$4,0)))</f>
        <v/>
      </c>
      <c r="G8" s="7">
        <f>IF(G$4="","",INDEX(Calc!$C$11:$Q$11,MATCH(G$4,Calc!$C$4:$Q$4,0)))</f>
        <v/>
      </c>
      <c r="H8" s="7">
        <f>IF(H$4="","",INDEX(Calc!$C$11:$Q$11,MATCH(H$4,Calc!$C$4:$Q$4,0)))</f>
        <v/>
      </c>
      <c r="I8" s="7">
        <f>IF(I$4="","",INDEX(Calc!$C$11:$Q$11,MATCH(I$4,Calc!$C$4:$Q$4,0)))</f>
        <v/>
      </c>
      <c r="J8" s="7">
        <f>IF(J$4="","",INDEX(Calc!$C$11:$Q$11,MATCH(J$4,Calc!$C$4:$Q$4,0)))</f>
        <v/>
      </c>
      <c r="K8" s="7">
        <f>IF(K$4="","",INDEX(Calc!$C$11:$Q$11,MATCH(K$4,Calc!$C$4:$Q$4,0)))</f>
        <v/>
      </c>
      <c r="L8" s="7">
        <f>IF(L$4="","",INDEX(Calc!$C$11:$Q$11,MATCH(L$4,Calc!$C$4:$Q$4,0)))</f>
        <v/>
      </c>
      <c r="M8" s="7">
        <f>IF(M$4="","",INDEX(Calc!$C$11:$Q$11,MATCH(M$4,Calc!$C$4:$Q$4,0)))</f>
        <v/>
      </c>
      <c r="N8" s="7">
        <f>IF(N$4="","",INDEX(Calc!$C$11:$Q$11,MATCH(N$4,Calc!$C$4:$Q$4,0)))</f>
        <v/>
      </c>
    </row>
    <row r="9">
      <c r="A9" t="inlineStr">
        <is>
          <t>Operating cash flow</t>
        </is>
      </c>
      <c r="B9" s="6">
        <f>IF(B$4="","",INDEX(Calc!$C$33:$Q$33,MATCH(B$4,Calc!$C$4:$Q$4,0)))</f>
        <v/>
      </c>
      <c r="C9" s="6">
        <f>IF(C$4="","",INDEX(Calc!$C$33:$Q$33,MATCH(C$4,Calc!$C$4:$Q$4,0)))</f>
        <v/>
      </c>
      <c r="D9" s="6">
        <f>IF(D$4="","",INDEX(Calc!$C$33:$Q$33,MATCH(D$4,Calc!$C$4:$Q$4,0)))</f>
        <v/>
      </c>
      <c r="E9" s="6">
        <f>IF(E$4="","",INDEX(Calc!$C$33:$Q$33,MATCH(E$4,Calc!$C$4:$Q$4,0)))</f>
        <v/>
      </c>
      <c r="F9" s="6">
        <f>IF(F$4="","",INDEX(Calc!$C$33:$Q$33,MATCH(F$4,Calc!$C$4:$Q$4,0)))</f>
        <v/>
      </c>
      <c r="G9" s="6">
        <f>IF(G$4="","",INDEX(Calc!$C$33:$Q$33,MATCH(G$4,Calc!$C$4:$Q$4,0)))</f>
        <v/>
      </c>
      <c r="H9" s="6">
        <f>IF(H$4="","",INDEX(Calc!$C$33:$Q$33,MATCH(H$4,Calc!$C$4:$Q$4,0)))</f>
        <v/>
      </c>
      <c r="I9" s="6">
        <f>IF(I$4="","",INDEX(Calc!$C$33:$Q$33,MATCH(I$4,Calc!$C$4:$Q$4,0)))</f>
        <v/>
      </c>
      <c r="J9" s="6">
        <f>IF(J$4="","",INDEX(Calc!$C$33:$Q$33,MATCH(J$4,Calc!$C$4:$Q$4,0)))</f>
        <v/>
      </c>
      <c r="K9" s="6">
        <f>IF(K$4="","",INDEX(Calc!$C$33:$Q$33,MATCH(K$4,Calc!$C$4:$Q$4,0)))</f>
        <v/>
      </c>
      <c r="L9" s="6">
        <f>IF(L$4="","",INDEX(Calc!$C$33:$Q$33,MATCH(L$4,Calc!$C$4:$Q$4,0)))</f>
        <v/>
      </c>
      <c r="M9" s="6">
        <f>IF(M$4="","",INDEX(Calc!$C$33:$Q$33,MATCH(M$4,Calc!$C$4:$Q$4,0)))</f>
        <v/>
      </c>
      <c r="N9" s="6">
        <f>IF(N$4="","",INDEX(Calc!$C$33:$Q$33,MATCH(N$4,Calc!$C$4:$Q$4,0)))</f>
        <v/>
      </c>
    </row>
    <row r="10">
      <c r="A10" t="inlineStr">
        <is>
          <t>Free cash flow</t>
        </is>
      </c>
      <c r="B10" s="6">
        <f>IF(B$4="","",INDEX(Calc!$C$35:$Q$35,MATCH(B$4,Calc!$C$4:$Q$4,0)))</f>
        <v/>
      </c>
      <c r="C10" s="6">
        <f>IF(C$4="","",INDEX(Calc!$C$35:$Q$35,MATCH(C$4,Calc!$C$4:$Q$4,0)))</f>
        <v/>
      </c>
      <c r="D10" s="6">
        <f>IF(D$4="","",INDEX(Calc!$C$35:$Q$35,MATCH(D$4,Calc!$C$4:$Q$4,0)))</f>
        <v/>
      </c>
      <c r="E10" s="6">
        <f>IF(E$4="","",INDEX(Calc!$C$35:$Q$35,MATCH(E$4,Calc!$C$4:$Q$4,0)))</f>
        <v/>
      </c>
      <c r="F10" s="6">
        <f>IF(F$4="","",INDEX(Calc!$C$35:$Q$35,MATCH(F$4,Calc!$C$4:$Q$4,0)))</f>
        <v/>
      </c>
      <c r="G10" s="6">
        <f>IF(G$4="","",INDEX(Calc!$C$35:$Q$35,MATCH(G$4,Calc!$C$4:$Q$4,0)))</f>
        <v/>
      </c>
      <c r="H10" s="6">
        <f>IF(H$4="","",INDEX(Calc!$C$35:$Q$35,MATCH(H$4,Calc!$C$4:$Q$4,0)))</f>
        <v/>
      </c>
      <c r="I10" s="6">
        <f>IF(I$4="","",INDEX(Calc!$C$35:$Q$35,MATCH(I$4,Calc!$C$4:$Q$4,0)))</f>
        <v/>
      </c>
      <c r="J10" s="6">
        <f>IF(J$4="","",INDEX(Calc!$C$35:$Q$35,MATCH(J$4,Calc!$C$4:$Q$4,0)))</f>
        <v/>
      </c>
      <c r="K10" s="6">
        <f>IF(K$4="","",INDEX(Calc!$C$35:$Q$35,MATCH(K$4,Calc!$C$4:$Q$4,0)))</f>
        <v/>
      </c>
      <c r="L10" s="6">
        <f>IF(L$4="","",INDEX(Calc!$C$35:$Q$35,MATCH(L$4,Calc!$C$4:$Q$4,0)))</f>
        <v/>
      </c>
      <c r="M10" s="6">
        <f>IF(M$4="","",INDEX(Calc!$C$35:$Q$35,MATCH(M$4,Calc!$C$4:$Q$4,0)))</f>
        <v/>
      </c>
      <c r="N10" s="6">
        <f>IF(N$4="","",INDEX(Calc!$C$35:$Q$35,MATCH(N$4,Calc!$C$4:$Q$4,0)))</f>
        <v/>
      </c>
    </row>
    <row r="11">
      <c r="A11" t="inlineStr">
        <is>
          <t>Closing cash</t>
        </is>
      </c>
      <c r="B11" s="6">
        <f>IF(B$4="","",INDEX(Calc!$C$17:$Q$17,MATCH(B$4,Calc!$C$4:$Q$4,0)))</f>
        <v/>
      </c>
      <c r="C11" s="6">
        <f>IF(C$4="","",INDEX(Calc!$C$17:$Q$17,MATCH(C$4,Calc!$C$4:$Q$4,0)))</f>
        <v/>
      </c>
      <c r="D11" s="6">
        <f>IF(D$4="","",INDEX(Calc!$C$17:$Q$17,MATCH(D$4,Calc!$C$4:$Q$4,0)))</f>
        <v/>
      </c>
      <c r="E11" s="6">
        <f>IF(E$4="","",INDEX(Calc!$C$17:$Q$17,MATCH(E$4,Calc!$C$4:$Q$4,0)))</f>
        <v/>
      </c>
      <c r="F11" s="6">
        <f>IF(F$4="","",INDEX(Calc!$C$17:$Q$17,MATCH(F$4,Calc!$C$4:$Q$4,0)))</f>
        <v/>
      </c>
      <c r="G11" s="6">
        <f>IF(G$4="","",INDEX(Calc!$C$17:$Q$17,MATCH(G$4,Calc!$C$4:$Q$4,0)))</f>
        <v/>
      </c>
      <c r="H11" s="6">
        <f>IF(H$4="","",INDEX(Calc!$C$17:$Q$17,MATCH(H$4,Calc!$C$4:$Q$4,0)))</f>
        <v/>
      </c>
      <c r="I11" s="6">
        <f>IF(I$4="","",INDEX(Calc!$C$17:$Q$17,MATCH(I$4,Calc!$C$4:$Q$4,0)))</f>
        <v/>
      </c>
      <c r="J11" s="6">
        <f>IF(J$4="","",INDEX(Calc!$C$17:$Q$17,MATCH(J$4,Calc!$C$4:$Q$4,0)))</f>
        <v/>
      </c>
      <c r="K11" s="6">
        <f>IF(K$4="","",INDEX(Calc!$C$17:$Q$17,MATCH(K$4,Calc!$C$4:$Q$4,0)))</f>
        <v/>
      </c>
      <c r="L11" s="6">
        <f>IF(L$4="","",INDEX(Calc!$C$17:$Q$17,MATCH(L$4,Calc!$C$4:$Q$4,0)))</f>
        <v/>
      </c>
      <c r="M11" s="6">
        <f>IF(M$4="","",INDEX(Calc!$C$17:$Q$17,MATCH(M$4,Calc!$C$4:$Q$4,0)))</f>
        <v/>
      </c>
      <c r="N11" s="6">
        <f>IF(N$4="","",INDEX(Calc!$C$17:$Q$17,MATCH(N$4,Calc!$C$4:$Q$4,0)))</f>
        <v/>
      </c>
    </row>
    <row r="12">
      <c r="A12" t="inlineStr">
        <is>
          <t>DSO (days)</t>
        </is>
      </c>
      <c r="B12" s="8">
        <f>IF(B$4="","",INDEX(Calc!$C$43:$Q$43,MATCH(B$4,Calc!$C$4:$Q$4,0)))</f>
        <v/>
      </c>
      <c r="C12" s="8">
        <f>IF(C$4="","",INDEX(Calc!$C$43:$Q$43,MATCH(C$4,Calc!$C$4:$Q$4,0)))</f>
        <v/>
      </c>
      <c r="D12" s="8">
        <f>IF(D$4="","",INDEX(Calc!$C$43:$Q$43,MATCH(D$4,Calc!$C$4:$Q$4,0)))</f>
        <v/>
      </c>
      <c r="E12" s="8">
        <f>IF(E$4="","",INDEX(Calc!$C$43:$Q$43,MATCH(E$4,Calc!$C$4:$Q$4,0)))</f>
        <v/>
      </c>
      <c r="F12" s="8">
        <f>IF(F$4="","",INDEX(Calc!$C$43:$Q$43,MATCH(F$4,Calc!$C$4:$Q$4,0)))</f>
        <v/>
      </c>
      <c r="G12" s="8">
        <f>IF(G$4="","",INDEX(Calc!$C$43:$Q$43,MATCH(G$4,Calc!$C$4:$Q$4,0)))</f>
        <v/>
      </c>
      <c r="H12" s="8">
        <f>IF(H$4="","",INDEX(Calc!$C$43:$Q$43,MATCH(H$4,Calc!$C$4:$Q$4,0)))</f>
        <v/>
      </c>
      <c r="I12" s="8">
        <f>IF(I$4="","",INDEX(Calc!$C$43:$Q$43,MATCH(I$4,Calc!$C$4:$Q$4,0)))</f>
        <v/>
      </c>
      <c r="J12" s="8">
        <f>IF(J$4="","",INDEX(Calc!$C$43:$Q$43,MATCH(J$4,Calc!$C$4:$Q$4,0)))</f>
        <v/>
      </c>
      <c r="K12" s="8">
        <f>IF(K$4="","",INDEX(Calc!$C$43:$Q$43,MATCH(K$4,Calc!$C$4:$Q$4,0)))</f>
        <v/>
      </c>
      <c r="L12" s="8">
        <f>IF(L$4="","",INDEX(Calc!$C$43:$Q$43,MATCH(L$4,Calc!$C$4:$Q$4,0)))</f>
        <v/>
      </c>
      <c r="M12" s="8">
        <f>IF(M$4="","",INDEX(Calc!$C$43:$Q$43,MATCH(M$4,Calc!$C$4:$Q$4,0)))</f>
        <v/>
      </c>
      <c r="N12" s="8">
        <f>IF(N$4="","",INDEX(Calc!$C$43:$Q$43,MATCH(N$4,Calc!$C$4:$Q$4,0)))</f>
        <v/>
      </c>
    </row>
    <row r="13">
      <c r="A13" t="inlineStr">
        <is>
          <t>DPO (days)</t>
        </is>
      </c>
      <c r="B13" s="8">
        <f>IF(B$4="","",INDEX(Calc!$C$44:$Q$44,MATCH(B$4,Calc!$C$4:$Q$4,0)))</f>
        <v/>
      </c>
      <c r="C13" s="8">
        <f>IF(C$4="","",INDEX(Calc!$C$44:$Q$44,MATCH(C$4,Calc!$C$4:$Q$4,0)))</f>
        <v/>
      </c>
      <c r="D13" s="8">
        <f>IF(D$4="","",INDEX(Calc!$C$44:$Q$44,MATCH(D$4,Calc!$C$4:$Q$4,0)))</f>
        <v/>
      </c>
      <c r="E13" s="8">
        <f>IF(E$4="","",INDEX(Calc!$C$44:$Q$44,MATCH(E$4,Calc!$C$4:$Q$4,0)))</f>
        <v/>
      </c>
      <c r="F13" s="8">
        <f>IF(F$4="","",INDEX(Calc!$C$44:$Q$44,MATCH(F$4,Calc!$C$4:$Q$4,0)))</f>
        <v/>
      </c>
      <c r="G13" s="8">
        <f>IF(G$4="","",INDEX(Calc!$C$44:$Q$44,MATCH(G$4,Calc!$C$4:$Q$4,0)))</f>
        <v/>
      </c>
      <c r="H13" s="8">
        <f>IF(H$4="","",INDEX(Calc!$C$44:$Q$44,MATCH(H$4,Calc!$C$4:$Q$4,0)))</f>
        <v/>
      </c>
      <c r="I13" s="8">
        <f>IF(I$4="","",INDEX(Calc!$C$44:$Q$44,MATCH(I$4,Calc!$C$4:$Q$4,0)))</f>
        <v/>
      </c>
      <c r="J13" s="8">
        <f>IF(J$4="","",INDEX(Calc!$C$44:$Q$44,MATCH(J$4,Calc!$C$4:$Q$4,0)))</f>
        <v/>
      </c>
      <c r="K13" s="8">
        <f>IF(K$4="","",INDEX(Calc!$C$44:$Q$44,MATCH(K$4,Calc!$C$4:$Q$4,0)))</f>
        <v/>
      </c>
      <c r="L13" s="8">
        <f>IF(L$4="","",INDEX(Calc!$C$44:$Q$44,MATCH(L$4,Calc!$C$4:$Q$4,0)))</f>
        <v/>
      </c>
      <c r="M13" s="8">
        <f>IF(M$4="","",INDEX(Calc!$C$44:$Q$44,MATCH(M$4,Calc!$C$4:$Q$4,0)))</f>
        <v/>
      </c>
      <c r="N13" s="8">
        <f>IF(N$4="","",INDEX(Calc!$C$44:$Q$44,MATCH(N$4,Calc!$C$4:$Q$4,0)))</f>
        <v/>
      </c>
    </row>
    <row r="14">
      <c r="A14" t="inlineStr">
        <is>
          <t>Current ratio</t>
        </is>
      </c>
      <c r="B14" s="9">
        <f>IF(B$4="","",INDEX(Calc!$C$45:$Q$45,MATCH(B$4,Calc!$C$4:$Q$4,0)))</f>
        <v/>
      </c>
      <c r="C14" s="9">
        <f>IF(C$4="","",INDEX(Calc!$C$45:$Q$45,MATCH(C$4,Calc!$C$4:$Q$4,0)))</f>
        <v/>
      </c>
      <c r="D14" s="9">
        <f>IF(D$4="","",INDEX(Calc!$C$45:$Q$45,MATCH(D$4,Calc!$C$4:$Q$4,0)))</f>
        <v/>
      </c>
      <c r="E14" s="9">
        <f>IF(E$4="","",INDEX(Calc!$C$45:$Q$45,MATCH(E$4,Calc!$C$4:$Q$4,0)))</f>
        <v/>
      </c>
      <c r="F14" s="9">
        <f>IF(F$4="","",INDEX(Calc!$C$45:$Q$45,MATCH(F$4,Calc!$C$4:$Q$4,0)))</f>
        <v/>
      </c>
      <c r="G14" s="9">
        <f>IF(G$4="","",INDEX(Calc!$C$45:$Q$45,MATCH(G$4,Calc!$C$4:$Q$4,0)))</f>
        <v/>
      </c>
      <c r="H14" s="9">
        <f>IF(H$4="","",INDEX(Calc!$C$45:$Q$45,MATCH(H$4,Calc!$C$4:$Q$4,0)))</f>
        <v/>
      </c>
      <c r="I14" s="9">
        <f>IF(I$4="","",INDEX(Calc!$C$45:$Q$45,MATCH(I$4,Calc!$C$4:$Q$4,0)))</f>
        <v/>
      </c>
      <c r="J14" s="9">
        <f>IF(J$4="","",INDEX(Calc!$C$45:$Q$45,MATCH(J$4,Calc!$C$4:$Q$4,0)))</f>
        <v/>
      </c>
      <c r="K14" s="9">
        <f>IF(K$4="","",INDEX(Calc!$C$45:$Q$45,MATCH(K$4,Calc!$C$4:$Q$4,0)))</f>
        <v/>
      </c>
      <c r="L14" s="9">
        <f>IF(L$4="","",INDEX(Calc!$C$45:$Q$45,MATCH(L$4,Calc!$C$4:$Q$4,0)))</f>
        <v/>
      </c>
      <c r="M14" s="9">
        <f>IF(M$4="","",INDEX(Calc!$C$45:$Q$45,MATCH(M$4,Calc!$C$4:$Q$4,0)))</f>
        <v/>
      </c>
      <c r="N14" s="9">
        <f>IF(N$4="","",INDEX(Calc!$C$45:$Q$45,MATCH(N$4,Calc!$C$4:$Q$4,0)))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30" customWidth="1" min="3" max="3"/>
    <col width="8" customWidth="1" min="4" max="4"/>
  </cols>
  <sheetData>
    <row r="1">
      <c r="A1" s="5" t="inlineStr">
        <is>
          <t>Account</t>
        </is>
      </c>
      <c r="B1" s="5" t="inlineStr">
        <is>
          <t>Name</t>
        </is>
      </c>
      <c r="C1" s="5" t="inlineStr">
        <is>
          <t>Line</t>
        </is>
      </c>
      <c r="D1" s="5" t="inlineStr">
        <is>
          <t>Type</t>
        </is>
      </c>
    </row>
    <row r="2">
      <c r="A2" s="11" t="n">
        <v>4000</v>
      </c>
      <c r="B2" s="11" t="inlineStr">
        <is>
          <t>Product revenue</t>
        </is>
      </c>
      <c r="C2" s="11" t="inlineStr">
        <is>
          <t>Revenue</t>
        </is>
      </c>
      <c r="D2" s="11" t="inlineStr">
        <is>
          <t>PL</t>
        </is>
      </c>
    </row>
    <row r="3">
      <c r="A3" s="11" t="n">
        <v>4100</v>
      </c>
      <c r="B3" s="11" t="inlineStr">
        <is>
          <t>Service revenue</t>
        </is>
      </c>
      <c r="C3" s="11" t="inlineStr">
        <is>
          <t>Revenue</t>
        </is>
      </c>
      <c r="D3" s="11" t="inlineStr">
        <is>
          <t>PL</t>
        </is>
      </c>
    </row>
    <row r="4">
      <c r="A4" s="11" t="n">
        <v>5000</v>
      </c>
      <c r="B4" s="11" t="inlineStr">
        <is>
          <t>Cost of sales</t>
        </is>
      </c>
      <c r="C4" s="11" t="inlineStr">
        <is>
          <t>Cost of sales</t>
        </is>
      </c>
      <c r="D4" s="11" t="inlineStr">
        <is>
          <t>PL</t>
        </is>
      </c>
    </row>
    <row r="5">
      <c r="A5" s="11" t="n">
        <v>6000</v>
      </c>
      <c r="B5" s="11" t="inlineStr">
        <is>
          <t>Salaries and benefits</t>
        </is>
      </c>
      <c r="C5" s="11" t="inlineStr">
        <is>
          <t>Operating expenses</t>
        </is>
      </c>
      <c r="D5" s="11" t="inlineStr">
        <is>
          <t>PL</t>
        </is>
      </c>
    </row>
    <row r="6">
      <c r="A6" s="11" t="n">
        <v>6200</v>
      </c>
      <c r="B6" s="11" t="inlineStr">
        <is>
          <t>Rent and office</t>
        </is>
      </c>
      <c r="C6" s="11" t="inlineStr">
        <is>
          <t>Operating expenses</t>
        </is>
      </c>
      <c r="D6" s="11" t="inlineStr">
        <is>
          <t>PL</t>
        </is>
      </c>
    </row>
    <row r="7">
      <c r="A7" s="11" t="n">
        <v>6400</v>
      </c>
      <c r="B7" s="11" t="inlineStr">
        <is>
          <t>Marketing</t>
        </is>
      </c>
      <c r="C7" s="11" t="inlineStr">
        <is>
          <t>Operating expenses</t>
        </is>
      </c>
      <c r="D7" s="11" t="inlineStr">
        <is>
          <t>PL</t>
        </is>
      </c>
    </row>
    <row r="8">
      <c r="A8" s="11" t="n">
        <v>6800</v>
      </c>
      <c r="B8" s="11" t="inlineStr">
        <is>
          <t>Depreciation</t>
        </is>
      </c>
      <c r="C8" s="11" t="inlineStr">
        <is>
          <t>Depreciation and amortization</t>
        </is>
      </c>
      <c r="D8" s="11" t="inlineStr">
        <is>
          <t>PL</t>
        </is>
      </c>
    </row>
    <row r="9">
      <c r="A9" s="11" t="n">
        <v>7000</v>
      </c>
      <c r="B9" s="11" t="inlineStr">
        <is>
          <t>Interest expense</t>
        </is>
      </c>
      <c r="C9" s="11" t="inlineStr">
        <is>
          <t>Interest expense</t>
        </is>
      </c>
      <c r="D9" s="11" t="inlineStr">
        <is>
          <t>PL</t>
        </is>
      </c>
    </row>
    <row r="10">
      <c r="A10" s="11" t="n">
        <v>8000</v>
      </c>
      <c r="B10" s="11" t="inlineStr">
        <is>
          <t>Income tax expense</t>
        </is>
      </c>
      <c r="C10" s="11" t="inlineStr">
        <is>
          <t>Income tax</t>
        </is>
      </c>
      <c r="D10" s="11" t="inlineStr">
        <is>
          <t>PL</t>
        </is>
      </c>
    </row>
    <row r="11">
      <c r="A11" s="11" t="n">
        <v>1000</v>
      </c>
      <c r="B11" s="11" t="inlineStr">
        <is>
          <t>Cash</t>
        </is>
      </c>
      <c r="C11" s="11" t="inlineStr">
        <is>
          <t>Cash</t>
        </is>
      </c>
      <c r="D11" s="11" t="inlineStr">
        <is>
          <t>BS</t>
        </is>
      </c>
    </row>
    <row r="12">
      <c r="A12" s="11" t="n">
        <v>1100</v>
      </c>
      <c r="B12" s="11" t="inlineStr">
        <is>
          <t>Accounts receivable</t>
        </is>
      </c>
      <c r="C12" s="11" t="inlineStr">
        <is>
          <t>Accounts receivable</t>
        </is>
      </c>
      <c r="D12" s="11" t="inlineStr">
        <is>
          <t>BS</t>
        </is>
      </c>
    </row>
    <row r="13">
      <c r="A13" s="11" t="n">
        <v>1200</v>
      </c>
      <c r="B13" s="11" t="inlineStr">
        <is>
          <t>Inventory</t>
        </is>
      </c>
      <c r="C13" s="11" t="inlineStr">
        <is>
          <t>Inventory</t>
        </is>
      </c>
      <c r="D13" s="11" t="inlineStr">
        <is>
          <t>BS</t>
        </is>
      </c>
    </row>
    <row r="14">
      <c r="A14" s="11" t="n">
        <v>1300</v>
      </c>
      <c r="B14" s="11" t="inlineStr">
        <is>
          <t>Prepaid and other current assets</t>
        </is>
      </c>
      <c r="C14" s="11" t="inlineStr">
        <is>
          <t>Other current assets</t>
        </is>
      </c>
      <c r="D14" s="11" t="inlineStr">
        <is>
          <t>BS</t>
        </is>
      </c>
    </row>
    <row r="15">
      <c r="A15" s="11" t="n">
        <v>1500</v>
      </c>
      <c r="B15" s="11" t="inlineStr">
        <is>
          <t>Property and equipment</t>
        </is>
      </c>
      <c r="C15" s="11" t="inlineStr">
        <is>
          <t>Fixed assets</t>
        </is>
      </c>
      <c r="D15" s="11" t="inlineStr">
        <is>
          <t>BS</t>
        </is>
      </c>
    </row>
    <row r="16">
      <c r="A16" s="11" t="n">
        <v>1590</v>
      </c>
      <c r="B16" s="11" t="inlineStr">
        <is>
          <t>Accumulated depreciation</t>
        </is>
      </c>
      <c r="C16" s="11" t="inlineStr">
        <is>
          <t>Accumulated depreciation</t>
        </is>
      </c>
      <c r="D16" s="11" t="inlineStr">
        <is>
          <t>BS</t>
        </is>
      </c>
    </row>
    <row r="17">
      <c r="A17" s="11" t="n">
        <v>2000</v>
      </c>
      <c r="B17" s="11" t="inlineStr">
        <is>
          <t>Accounts payable</t>
        </is>
      </c>
      <c r="C17" s="11" t="inlineStr">
        <is>
          <t>Accounts payable</t>
        </is>
      </c>
      <c r="D17" s="11" t="inlineStr">
        <is>
          <t>BS</t>
        </is>
      </c>
    </row>
    <row r="18">
      <c r="A18" s="11" t="n">
        <v>2100</v>
      </c>
      <c r="B18" s="11" t="inlineStr">
        <is>
          <t>Accrued liabilities</t>
        </is>
      </c>
      <c r="C18" s="11" t="inlineStr">
        <is>
          <t>Other current liabilities</t>
        </is>
      </c>
      <c r="D18" s="11" t="inlineStr">
        <is>
          <t>BS</t>
        </is>
      </c>
    </row>
    <row r="19">
      <c r="A19" s="11" t="n">
        <v>2500</v>
      </c>
      <c r="B19" s="11" t="inlineStr">
        <is>
          <t>Long-term debt</t>
        </is>
      </c>
      <c r="C19" s="11" t="inlineStr">
        <is>
          <t>Long-term debt</t>
        </is>
      </c>
      <c r="D19" s="11" t="inlineStr">
        <is>
          <t>BS</t>
        </is>
      </c>
    </row>
    <row r="20">
      <c r="A20" s="11" t="n">
        <v>3000</v>
      </c>
      <c r="B20" s="11" t="inlineStr">
        <is>
          <t>Equity and retained earnings</t>
        </is>
      </c>
      <c r="C20" s="11" t="inlineStr">
        <is>
          <t>Equity</t>
        </is>
      </c>
      <c r="D20" s="11" t="inlineStr">
        <is>
          <t>BS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2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26" customWidth="1" min="3" max="3"/>
    <col width="6" customWidth="1" min="4" max="4"/>
    <col width="14"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5" t="inlineStr">
        <is>
          <t>Account</t>
        </is>
      </c>
      <c r="B1" s="5" t="inlineStr">
        <is>
          <t>Name</t>
        </is>
      </c>
      <c r="C1" s="5" t="inlineStr">
        <is>
          <t>Line</t>
        </is>
      </c>
      <c r="D1" s="5" t="inlineStr">
        <is>
          <t>Type</t>
        </is>
      </c>
      <c r="E1" s="5" t="inlineStr">
        <is>
          <t>Opening</t>
        </is>
      </c>
      <c r="F1" s="12" t="inlineStr">
        <is>
          <t>2025-04</t>
        </is>
      </c>
      <c r="G1" s="12" t="inlineStr">
        <is>
          <t>2025-05</t>
        </is>
      </c>
      <c r="H1" s="12" t="inlineStr">
        <is>
          <t>2025-06</t>
        </is>
      </c>
      <c r="I1" s="12" t="inlineStr">
        <is>
          <t>2025-07</t>
        </is>
      </c>
      <c r="J1" s="12" t="inlineStr">
        <is>
          <t>2025-08</t>
        </is>
      </c>
      <c r="K1" s="12" t="inlineStr">
        <is>
          <t>2025-09</t>
        </is>
      </c>
      <c r="L1" s="12" t="inlineStr">
        <is>
          <t>2025-10</t>
        </is>
      </c>
      <c r="M1" s="12" t="inlineStr">
        <is>
          <t>2025-11</t>
        </is>
      </c>
      <c r="N1" s="12" t="inlineStr">
        <is>
          <t>2025-12</t>
        </is>
      </c>
      <c r="O1" s="12" t="inlineStr">
        <is>
          <t>2026-01</t>
        </is>
      </c>
      <c r="P1" s="12" t="inlineStr">
        <is>
          <t>2026-02</t>
        </is>
      </c>
      <c r="Q1" s="12" t="inlineStr">
        <is>
          <t>2026-03</t>
        </is>
      </c>
      <c r="R1" s="12" t="inlineStr">
        <is>
          <t>2026-04</t>
        </is>
      </c>
      <c r="S1" s="12" t="inlineStr">
        <is>
          <t>2026-05</t>
        </is>
      </c>
      <c r="T1" s="12" t="inlineStr">
        <is>
          <t>2026-06</t>
        </is>
      </c>
    </row>
    <row r="2">
      <c r="A2" s="11" t="n">
        <v>4000</v>
      </c>
      <c r="B2" s="11" t="inlineStr">
        <is>
          <t>Product revenue</t>
        </is>
      </c>
      <c r="C2">
        <f>IFERROR(INDEX(Map!$C$2:$C$500,MATCH(A2,Map!$A$2:$A$500,0)),"UNMAPPED")</f>
        <v/>
      </c>
      <c r="D2">
        <f>IFERROR(INDEX(Map!$D$2:$D$500,MATCH(A2,Map!$A$2:$A$500,0)),"")</f>
        <v/>
      </c>
      <c r="E2" s="13" t="n">
        <v>0</v>
      </c>
      <c r="F2" s="13" t="n">
        <v>-3320000</v>
      </c>
      <c r="G2" s="13" t="n">
        <v>-3390000</v>
      </c>
      <c r="H2" s="13" t="n">
        <v>-3450000</v>
      </c>
      <c r="I2" s="13" t="n">
        <v>-3400000</v>
      </c>
      <c r="J2" s="13" t="n">
        <v>-3340000</v>
      </c>
      <c r="K2" s="13" t="n">
        <v>-3520000</v>
      </c>
      <c r="L2" s="13" t="n">
        <v>-3570000</v>
      </c>
      <c r="M2" s="13" t="n">
        <v>-3510000</v>
      </c>
      <c r="N2" s="13" t="n">
        <v>-3620000</v>
      </c>
      <c r="O2" s="13" t="n">
        <v>-3440000</v>
      </c>
      <c r="P2" s="13" t="n">
        <v>-3500000</v>
      </c>
      <c r="Q2" s="13" t="n">
        <v>-3650000</v>
      </c>
      <c r="R2" s="13" t="n">
        <v>-3710000</v>
      </c>
      <c r="S2" s="13" t="n">
        <v>-3830000</v>
      </c>
      <c r="T2" s="13" t="n">
        <v>-3860000</v>
      </c>
    </row>
    <row r="3">
      <c r="A3" s="11" t="n">
        <v>4100</v>
      </c>
      <c r="B3" s="11" t="inlineStr">
        <is>
          <t>Service revenue</t>
        </is>
      </c>
      <c r="C3">
        <f>IFERROR(INDEX(Map!$C$2:$C$500,MATCH(A3,Map!$A$2:$A$500,0)),"UNMAPPED")</f>
        <v/>
      </c>
      <c r="D3">
        <f>IFERROR(INDEX(Map!$D$2:$D$500,MATCH(A3,Map!$A$2:$A$500,0)),"")</f>
        <v/>
      </c>
      <c r="E3" s="13" t="n">
        <v>0</v>
      </c>
      <c r="F3" s="13" t="n">
        <v>-830000</v>
      </c>
      <c r="G3" s="13" t="n">
        <v>-850000</v>
      </c>
      <c r="H3" s="13" t="n">
        <v>-860000</v>
      </c>
      <c r="I3" s="13" t="n">
        <v>-850000</v>
      </c>
      <c r="J3" s="13" t="n">
        <v>-840000</v>
      </c>
      <c r="K3" s="13" t="n">
        <v>-880000</v>
      </c>
      <c r="L3" s="13" t="n">
        <v>-890000</v>
      </c>
      <c r="M3" s="13" t="n">
        <v>-880000</v>
      </c>
      <c r="N3" s="13" t="n">
        <v>-900000</v>
      </c>
      <c r="O3" s="13" t="n">
        <v>-860000</v>
      </c>
      <c r="P3" s="13" t="n">
        <v>-880000</v>
      </c>
      <c r="Q3" s="13" t="n">
        <v>-910000</v>
      </c>
      <c r="R3" s="13" t="n">
        <v>-930000</v>
      </c>
      <c r="S3" s="13" t="n">
        <v>-960000</v>
      </c>
      <c r="T3" s="13" t="n">
        <v>-960000</v>
      </c>
    </row>
    <row r="4">
      <c r="A4" s="11" t="n">
        <v>5000</v>
      </c>
      <c r="B4" s="11" t="inlineStr">
        <is>
          <t>Cost of sales</t>
        </is>
      </c>
      <c r="C4">
        <f>IFERROR(INDEX(Map!$C$2:$C$500,MATCH(A4,Map!$A$2:$A$500,0)),"UNMAPPED")</f>
        <v/>
      </c>
      <c r="D4">
        <f>IFERROR(INDEX(Map!$D$2:$D$500,MATCH(A4,Map!$A$2:$A$500,0)),"")</f>
        <v/>
      </c>
      <c r="E4" s="13" t="n">
        <v>0</v>
      </c>
      <c r="F4" s="13" t="n">
        <v>2520000</v>
      </c>
      <c r="G4" s="13" t="n">
        <v>2570000</v>
      </c>
      <c r="H4" s="13" t="n">
        <v>2610000</v>
      </c>
      <c r="I4" s="13" t="n">
        <v>2580000</v>
      </c>
      <c r="J4" s="13" t="n">
        <v>2540000</v>
      </c>
      <c r="K4" s="13" t="n">
        <v>2660000</v>
      </c>
      <c r="L4" s="13" t="n">
        <v>2700000</v>
      </c>
      <c r="M4" s="13" t="n">
        <v>2660000</v>
      </c>
      <c r="N4" s="13" t="n">
        <v>2730000</v>
      </c>
      <c r="O4" s="13" t="n">
        <v>2610000</v>
      </c>
      <c r="P4" s="13" t="n">
        <v>2650000</v>
      </c>
      <c r="Q4" s="13" t="n">
        <v>2760000</v>
      </c>
      <c r="R4" s="13" t="n">
        <v>2820000</v>
      </c>
      <c r="S4" s="13" t="n">
        <v>2890000</v>
      </c>
      <c r="T4" s="13" t="n">
        <v>2940000</v>
      </c>
    </row>
    <row r="5">
      <c r="A5" s="11" t="n">
        <v>6000</v>
      </c>
      <c r="B5" s="11" t="inlineStr">
        <is>
          <t>Salaries and benefits</t>
        </is>
      </c>
      <c r="C5">
        <f>IFERROR(INDEX(Map!$C$2:$C$500,MATCH(A5,Map!$A$2:$A$500,0)),"UNMAPPED")</f>
        <v/>
      </c>
      <c r="D5">
        <f>IFERROR(INDEX(Map!$D$2:$D$500,MATCH(A5,Map!$A$2:$A$500,0)),"")</f>
        <v/>
      </c>
      <c r="E5" s="13" t="n">
        <v>0</v>
      </c>
      <c r="F5" s="13" t="n">
        <v>620000</v>
      </c>
      <c r="G5" s="13" t="n">
        <v>630000</v>
      </c>
      <c r="H5" s="13" t="n">
        <v>640000</v>
      </c>
      <c r="I5" s="13" t="n">
        <v>640000</v>
      </c>
      <c r="J5" s="13" t="n">
        <v>630000</v>
      </c>
      <c r="K5" s="13" t="n">
        <v>650000</v>
      </c>
      <c r="L5" s="13" t="n">
        <v>660000</v>
      </c>
      <c r="M5" s="13" t="n">
        <v>650000</v>
      </c>
      <c r="N5" s="13" t="n">
        <v>670000</v>
      </c>
      <c r="O5" s="13" t="n">
        <v>670000</v>
      </c>
      <c r="P5" s="13" t="n">
        <v>680000</v>
      </c>
      <c r="Q5" s="13" t="n">
        <v>700000</v>
      </c>
      <c r="R5" s="13" t="n">
        <v>700000</v>
      </c>
      <c r="S5" s="13" t="n">
        <v>710000</v>
      </c>
      <c r="T5" s="13" t="n">
        <v>730000</v>
      </c>
    </row>
    <row r="6">
      <c r="A6" s="11" t="n">
        <v>6200</v>
      </c>
      <c r="B6" s="11" t="inlineStr">
        <is>
          <t>Rent and office</t>
        </is>
      </c>
      <c r="C6">
        <f>IFERROR(INDEX(Map!$C$2:$C$500,MATCH(A6,Map!$A$2:$A$500,0)),"UNMAPPED")</f>
        <v/>
      </c>
      <c r="D6">
        <f>IFERROR(INDEX(Map!$D$2:$D$500,MATCH(A6,Map!$A$2:$A$500,0)),"")</f>
        <v/>
      </c>
      <c r="E6" s="13" t="n">
        <v>0</v>
      </c>
      <c r="F6" s="13" t="n">
        <v>150000</v>
      </c>
      <c r="G6" s="13" t="n">
        <v>150000</v>
      </c>
      <c r="H6" s="13" t="n">
        <v>150000</v>
      </c>
      <c r="I6" s="13" t="n">
        <v>150000</v>
      </c>
      <c r="J6" s="13" t="n">
        <v>150000</v>
      </c>
      <c r="K6" s="13" t="n">
        <v>150000</v>
      </c>
      <c r="L6" s="13" t="n">
        <v>150000</v>
      </c>
      <c r="M6" s="13" t="n">
        <v>150000</v>
      </c>
      <c r="N6" s="13" t="n">
        <v>150000</v>
      </c>
      <c r="O6" s="13" t="n">
        <v>150000</v>
      </c>
      <c r="P6" s="13" t="n">
        <v>150000</v>
      </c>
      <c r="Q6" s="13" t="n">
        <v>150000</v>
      </c>
      <c r="R6" s="13" t="n">
        <v>150000</v>
      </c>
      <c r="S6" s="13" t="n">
        <v>150000</v>
      </c>
      <c r="T6" s="13" t="n">
        <v>150000</v>
      </c>
    </row>
    <row r="7">
      <c r="A7" s="11" t="n">
        <v>6400</v>
      </c>
      <c r="B7" s="11" t="inlineStr">
        <is>
          <t>Marketing</t>
        </is>
      </c>
      <c r="C7">
        <f>IFERROR(INDEX(Map!$C$2:$C$500,MATCH(A7,Map!$A$2:$A$500,0)),"UNMAPPED")</f>
        <v/>
      </c>
      <c r="D7">
        <f>IFERROR(INDEX(Map!$D$2:$D$500,MATCH(A7,Map!$A$2:$A$500,0)),"")</f>
        <v/>
      </c>
      <c r="E7" s="13" t="n">
        <v>0</v>
      </c>
      <c r="F7" s="13" t="n">
        <v>270000</v>
      </c>
      <c r="G7" s="13" t="n">
        <v>270000</v>
      </c>
      <c r="H7" s="13" t="n">
        <v>270000</v>
      </c>
      <c r="I7" s="13" t="n">
        <v>280000</v>
      </c>
      <c r="J7" s="13" t="n">
        <v>270000</v>
      </c>
      <c r="K7" s="13" t="n">
        <v>290000</v>
      </c>
      <c r="L7" s="13" t="n">
        <v>290000</v>
      </c>
      <c r="M7" s="13" t="n">
        <v>290000</v>
      </c>
      <c r="N7" s="13" t="n">
        <v>300000</v>
      </c>
      <c r="O7" s="13" t="n">
        <v>290000</v>
      </c>
      <c r="P7" s="13" t="n">
        <v>300000</v>
      </c>
      <c r="Q7" s="13" t="n">
        <v>310000</v>
      </c>
      <c r="R7" s="13" t="n">
        <v>320000</v>
      </c>
      <c r="S7" s="13" t="n">
        <v>330000</v>
      </c>
      <c r="T7" s="13" t="n">
        <v>330000</v>
      </c>
    </row>
    <row r="8">
      <c r="A8" s="11" t="n">
        <v>6800</v>
      </c>
      <c r="B8" s="11" t="inlineStr">
        <is>
          <t>Depreciation</t>
        </is>
      </c>
      <c r="C8">
        <f>IFERROR(INDEX(Map!$C$2:$C$500,MATCH(A8,Map!$A$2:$A$500,0)),"UNMAPPED")</f>
        <v/>
      </c>
      <c r="D8">
        <f>IFERROR(INDEX(Map!$D$2:$D$500,MATCH(A8,Map!$A$2:$A$500,0)),"")</f>
        <v/>
      </c>
      <c r="E8" s="13" t="n">
        <v>0</v>
      </c>
      <c r="F8" s="13" t="n">
        <v>75000</v>
      </c>
      <c r="G8" s="13" t="n">
        <v>75000</v>
      </c>
      <c r="H8" s="13" t="n">
        <v>75000</v>
      </c>
      <c r="I8" s="13" t="n">
        <v>75000</v>
      </c>
      <c r="J8" s="13" t="n">
        <v>75000</v>
      </c>
      <c r="K8" s="13" t="n">
        <v>75000</v>
      </c>
      <c r="L8" s="13" t="n">
        <v>75000</v>
      </c>
      <c r="M8" s="13" t="n">
        <v>75000</v>
      </c>
      <c r="N8" s="13" t="n">
        <v>75000</v>
      </c>
      <c r="O8" s="13" t="n">
        <v>80000</v>
      </c>
      <c r="P8" s="13" t="n">
        <v>80000</v>
      </c>
      <c r="Q8" s="13" t="n">
        <v>80000</v>
      </c>
      <c r="R8" s="13" t="n">
        <v>80000</v>
      </c>
      <c r="S8" s="13" t="n">
        <v>80000</v>
      </c>
      <c r="T8" s="13" t="n">
        <v>80000</v>
      </c>
    </row>
    <row r="9">
      <c r="A9" s="11" t="n">
        <v>7000</v>
      </c>
      <c r="B9" s="11" t="inlineStr">
        <is>
          <t>Interest expense</t>
        </is>
      </c>
      <c r="C9">
        <f>IFERROR(INDEX(Map!$C$2:$C$500,MATCH(A9,Map!$A$2:$A$500,0)),"UNMAPPED")</f>
        <v/>
      </c>
      <c r="D9">
        <f>IFERROR(INDEX(Map!$D$2:$D$500,MATCH(A9,Map!$A$2:$A$500,0)),"")</f>
        <v/>
      </c>
      <c r="E9" s="13" t="n">
        <v>0</v>
      </c>
      <c r="F9" s="13" t="n">
        <v>30000</v>
      </c>
      <c r="G9" s="13" t="n">
        <v>30000</v>
      </c>
      <c r="H9" s="13" t="n">
        <v>30000</v>
      </c>
      <c r="I9" s="13" t="n">
        <v>30000</v>
      </c>
      <c r="J9" s="13" t="n">
        <v>30000</v>
      </c>
      <c r="K9" s="13" t="n">
        <v>30000</v>
      </c>
      <c r="L9" s="13" t="n">
        <v>30000</v>
      </c>
      <c r="M9" s="13" t="n">
        <v>30000</v>
      </c>
      <c r="N9" s="13" t="n">
        <v>30000</v>
      </c>
      <c r="O9" s="13" t="n">
        <v>30000</v>
      </c>
      <c r="P9" s="13" t="n">
        <v>30000</v>
      </c>
      <c r="Q9" s="13" t="n">
        <v>30000</v>
      </c>
      <c r="R9" s="13" t="n">
        <v>30000</v>
      </c>
      <c r="S9" s="13" t="n">
        <v>30000</v>
      </c>
      <c r="T9" s="13" t="n">
        <v>30000</v>
      </c>
    </row>
    <row r="10">
      <c r="A10" s="11" t="n">
        <v>8000</v>
      </c>
      <c r="B10" s="11" t="inlineStr">
        <is>
          <t>Income tax expense</t>
        </is>
      </c>
      <c r="C10">
        <f>IFERROR(INDEX(Map!$C$2:$C$500,MATCH(A10,Map!$A$2:$A$500,0)),"UNMAPPED")</f>
        <v/>
      </c>
      <c r="D10">
        <f>IFERROR(INDEX(Map!$D$2:$D$500,MATCH(A10,Map!$A$2:$A$500,0)),"")</f>
        <v/>
      </c>
      <c r="E10" s="13" t="n">
        <v>0</v>
      </c>
      <c r="F10" s="13" t="n">
        <v>121000</v>
      </c>
      <c r="G10" s="13" t="n">
        <v>129000</v>
      </c>
      <c r="H10" s="13" t="n">
        <v>134000</v>
      </c>
      <c r="I10" s="13" t="n">
        <v>124000</v>
      </c>
      <c r="J10" s="13" t="n">
        <v>121000</v>
      </c>
      <c r="K10" s="13" t="n">
        <v>136000</v>
      </c>
      <c r="L10" s="13" t="n">
        <v>139000</v>
      </c>
      <c r="M10" s="13" t="n">
        <v>134000</v>
      </c>
      <c r="N10" s="13" t="n">
        <v>141000</v>
      </c>
      <c r="O10" s="13" t="n">
        <v>118000</v>
      </c>
      <c r="P10" s="13" t="n">
        <v>122000</v>
      </c>
      <c r="Q10" s="13" t="n">
        <v>132000</v>
      </c>
      <c r="R10" s="13" t="n">
        <v>135000</v>
      </c>
      <c r="S10" s="13" t="n">
        <v>150000</v>
      </c>
      <c r="T10" s="13" t="n">
        <v>140000</v>
      </c>
    </row>
    <row r="11">
      <c r="A11" s="11" t="n">
        <v>1000</v>
      </c>
      <c r="B11" s="11" t="inlineStr">
        <is>
          <t>Cash</t>
        </is>
      </c>
      <c r="C11">
        <f>IFERROR(INDEX(Map!$C$2:$C$500,MATCH(A11,Map!$A$2:$A$500,0)),"UNMAPPED")</f>
        <v/>
      </c>
      <c r="D11">
        <f>IFERROR(INDEX(Map!$D$2:$D$500,MATCH(A11,Map!$A$2:$A$500,0)),"")</f>
        <v/>
      </c>
      <c r="E11" s="13" t="n">
        <v>1166000</v>
      </c>
      <c r="F11" s="13" t="n">
        <v>204000</v>
      </c>
      <c r="G11" s="13" t="n">
        <v>231000</v>
      </c>
      <c r="H11" s="13" t="n">
        <v>216000</v>
      </c>
      <c r="I11" s="13" t="n">
        <v>276000</v>
      </c>
      <c r="J11" s="13" t="n">
        <v>279000</v>
      </c>
      <c r="K11" s="13" t="n">
        <v>-351000</v>
      </c>
      <c r="L11" s="13" t="n">
        <v>251000</v>
      </c>
      <c r="M11" s="13" t="n">
        <v>331000</v>
      </c>
      <c r="N11" s="13" t="n">
        <v>-411000</v>
      </c>
      <c r="O11" s="13" t="n">
        <v>362000</v>
      </c>
      <c r="P11" s="13" t="n">
        <v>308000</v>
      </c>
      <c r="Q11" s="13" t="n">
        <v>-382000</v>
      </c>
      <c r="R11" s="13" t="n">
        <v>160000</v>
      </c>
      <c r="S11" s="13" t="n">
        <v>190000</v>
      </c>
      <c r="T11" s="13" t="n">
        <v>320000</v>
      </c>
    </row>
    <row r="12">
      <c r="A12" s="11" t="n">
        <v>1100</v>
      </c>
      <c r="B12" s="11" t="inlineStr">
        <is>
          <t>Accounts receivable</t>
        </is>
      </c>
      <c r="C12">
        <f>IFERROR(INDEX(Map!$C$2:$C$500,MATCH(A12,Map!$A$2:$A$500,0)),"UNMAPPED")</f>
        <v/>
      </c>
      <c r="D12">
        <f>IFERROR(INDEX(Map!$D$2:$D$500,MATCH(A12,Map!$A$2:$A$500,0)),"")</f>
        <v/>
      </c>
      <c r="E12" s="13" t="n">
        <v>6200000</v>
      </c>
      <c r="F12" s="13" t="n">
        <v>50000</v>
      </c>
      <c r="G12" s="13" t="n">
        <v>50000</v>
      </c>
      <c r="H12" s="13" t="n">
        <v>100000</v>
      </c>
      <c r="I12" s="13" t="n">
        <v>-50000</v>
      </c>
      <c r="J12" s="13" t="n">
        <v>-100000</v>
      </c>
      <c r="K12" s="13" t="n">
        <v>130000</v>
      </c>
      <c r="L12" s="13" t="n">
        <v>120000</v>
      </c>
      <c r="M12" s="13" t="n">
        <v>-50000</v>
      </c>
      <c r="N12" s="13" t="n">
        <v>130000</v>
      </c>
      <c r="O12" s="13" t="n">
        <v>-150000</v>
      </c>
      <c r="P12" s="13" t="n">
        <v>-20000</v>
      </c>
      <c r="Q12" s="13" t="n">
        <v>150000</v>
      </c>
      <c r="R12" s="13" t="n">
        <v>240000</v>
      </c>
      <c r="S12" s="13" t="n">
        <v>250000</v>
      </c>
      <c r="T12" s="13" t="n">
        <v>80000</v>
      </c>
    </row>
    <row r="13">
      <c r="A13" s="11" t="n">
        <v>1200</v>
      </c>
      <c r="B13" s="11" t="inlineStr">
        <is>
          <t>Inventory</t>
        </is>
      </c>
      <c r="C13">
        <f>IFERROR(INDEX(Map!$C$2:$C$500,MATCH(A13,Map!$A$2:$A$500,0)),"UNMAPPED")</f>
        <v/>
      </c>
      <c r="D13">
        <f>IFERROR(INDEX(Map!$D$2:$D$500,MATCH(A13,Map!$A$2:$A$500,0)),"")</f>
        <v/>
      </c>
      <c r="E13" s="13" t="n">
        <v>2250000</v>
      </c>
      <c r="F13" s="13" t="n">
        <v>10000</v>
      </c>
      <c r="G13" s="13" t="n">
        <v>20000</v>
      </c>
      <c r="H13" s="13" t="n">
        <v>20000</v>
      </c>
      <c r="I13" s="13" t="n">
        <v>20000</v>
      </c>
      <c r="J13" s="13" t="n">
        <v>30000</v>
      </c>
      <c r="K13" s="13" t="n">
        <v>30000</v>
      </c>
      <c r="L13" s="13" t="n">
        <v>-20000</v>
      </c>
      <c r="M13" s="13" t="n">
        <v>-20000</v>
      </c>
      <c r="N13" s="13" t="n">
        <v>60000</v>
      </c>
      <c r="O13" s="13" t="n">
        <v>20000</v>
      </c>
      <c r="P13" s="13" t="n">
        <v>-10000</v>
      </c>
      <c r="Q13" s="13" t="n">
        <v>20000</v>
      </c>
      <c r="R13" s="13" t="n">
        <v>10000</v>
      </c>
      <c r="S13" s="13" t="n">
        <v>10000</v>
      </c>
      <c r="T13" s="13" t="n">
        <v>-50000</v>
      </c>
    </row>
    <row r="14">
      <c r="A14" s="11" t="n">
        <v>1300</v>
      </c>
      <c r="B14" s="11" t="inlineStr">
        <is>
          <t>Prepaid and other current assets</t>
        </is>
      </c>
      <c r="C14">
        <f>IFERROR(INDEX(Map!$C$2:$C$500,MATCH(A14,Map!$A$2:$A$500,0)),"UNMAPPED")</f>
        <v/>
      </c>
      <c r="D14">
        <f>IFERROR(INDEX(Map!$D$2:$D$500,MATCH(A14,Map!$A$2:$A$500,0)),"")</f>
        <v/>
      </c>
      <c r="E14" s="13" t="n">
        <v>1120000</v>
      </c>
      <c r="F14" s="13" t="n">
        <v>10000</v>
      </c>
      <c r="G14" s="13" t="n">
        <v>10000</v>
      </c>
      <c r="H14" s="13" t="n">
        <v>10000</v>
      </c>
      <c r="I14" s="13" t="n">
        <v>10000</v>
      </c>
      <c r="J14" s="13" t="n">
        <v>10000</v>
      </c>
      <c r="K14" s="13" t="n">
        <v>-10000</v>
      </c>
      <c r="L14" s="13" t="n">
        <v>20000</v>
      </c>
      <c r="M14" s="13" t="n">
        <v>10000</v>
      </c>
      <c r="N14" s="13" t="n">
        <v>10000</v>
      </c>
      <c r="O14" s="13" t="n">
        <v>-10000</v>
      </c>
      <c r="P14" s="13" t="n">
        <v>10000</v>
      </c>
      <c r="Q14" s="13" t="n">
        <v>10000</v>
      </c>
      <c r="R14" s="13" t="n">
        <v>10000</v>
      </c>
      <c r="S14" s="13" t="n">
        <v>10000</v>
      </c>
      <c r="T14" s="13" t="n">
        <v>-10000</v>
      </c>
    </row>
    <row r="15">
      <c r="A15" s="11" t="n">
        <v>1500</v>
      </c>
      <c r="B15" s="11" t="inlineStr">
        <is>
          <t>Property and equipment</t>
        </is>
      </c>
      <c r="C15">
        <f>IFERROR(INDEX(Map!$C$2:$C$500,MATCH(A15,Map!$A$2:$A$500,0)),"UNMAPPED")</f>
        <v/>
      </c>
      <c r="D15">
        <f>IFERROR(INDEX(Map!$D$2:$D$500,MATCH(A15,Map!$A$2:$A$500,0)),"")</f>
        <v/>
      </c>
      <c r="E15" s="13" t="n">
        <v>8805000</v>
      </c>
      <c r="F15" s="13" t="n">
        <v>95000</v>
      </c>
      <c r="G15" s="13" t="n">
        <v>100000</v>
      </c>
      <c r="H15" s="13" t="n">
        <v>100000</v>
      </c>
      <c r="I15" s="13" t="n">
        <v>90000</v>
      </c>
      <c r="J15" s="13" t="n">
        <v>110000</v>
      </c>
      <c r="K15" s="13" t="n">
        <v>95000</v>
      </c>
      <c r="L15" s="13" t="n">
        <v>100000</v>
      </c>
      <c r="M15" s="13" t="n">
        <v>105000</v>
      </c>
      <c r="N15" s="13" t="n">
        <v>130000</v>
      </c>
      <c r="O15" s="13" t="n">
        <v>90000</v>
      </c>
      <c r="P15" s="13" t="n">
        <v>100000</v>
      </c>
      <c r="Q15" s="13" t="n">
        <v>110000</v>
      </c>
      <c r="R15" s="13" t="n">
        <v>115000</v>
      </c>
      <c r="S15" s="13" t="n">
        <v>110000</v>
      </c>
      <c r="T15" s="13" t="n">
        <v>120000</v>
      </c>
    </row>
    <row r="16">
      <c r="A16" s="11" t="n">
        <v>1590</v>
      </c>
      <c r="B16" s="11" t="inlineStr">
        <is>
          <t>Accumulated depreciation</t>
        </is>
      </c>
      <c r="C16">
        <f>IFERROR(INDEX(Map!$C$2:$C$500,MATCH(A16,Map!$A$2:$A$500,0)),"UNMAPPED")</f>
        <v/>
      </c>
      <c r="D16">
        <f>IFERROR(INDEX(Map!$D$2:$D$500,MATCH(A16,Map!$A$2:$A$500,0)),"")</f>
        <v/>
      </c>
      <c r="E16" s="13" t="n">
        <v>-3050000</v>
      </c>
      <c r="F16" s="13" t="n">
        <v>-75000</v>
      </c>
      <c r="G16" s="13" t="n">
        <v>-75000</v>
      </c>
      <c r="H16" s="13" t="n">
        <v>-75000</v>
      </c>
      <c r="I16" s="13" t="n">
        <v>-75000</v>
      </c>
      <c r="J16" s="13" t="n">
        <v>-75000</v>
      </c>
      <c r="K16" s="13" t="n">
        <v>-75000</v>
      </c>
      <c r="L16" s="13" t="n">
        <v>-75000</v>
      </c>
      <c r="M16" s="13" t="n">
        <v>-75000</v>
      </c>
      <c r="N16" s="13" t="n">
        <v>-75000</v>
      </c>
      <c r="O16" s="13" t="n">
        <v>-80000</v>
      </c>
      <c r="P16" s="13" t="n">
        <v>-80000</v>
      </c>
      <c r="Q16" s="13" t="n">
        <v>-80000</v>
      </c>
      <c r="R16" s="13" t="n">
        <v>-80000</v>
      </c>
      <c r="S16" s="13" t="n">
        <v>-80000</v>
      </c>
      <c r="T16" s="13" t="n">
        <v>-80000</v>
      </c>
    </row>
    <row r="17">
      <c r="A17" s="11" t="n">
        <v>2000</v>
      </c>
      <c r="B17" s="11" t="inlineStr">
        <is>
          <t>Accounts payable</t>
        </is>
      </c>
      <c r="C17">
        <f>IFERROR(INDEX(Map!$C$2:$C$500,MATCH(A17,Map!$A$2:$A$500,0)),"UNMAPPED")</f>
        <v/>
      </c>
      <c r="D17">
        <f>IFERROR(INDEX(Map!$D$2:$D$500,MATCH(A17,Map!$A$2:$A$500,0)),"")</f>
        <v/>
      </c>
      <c r="E17" s="13" t="n">
        <v>-3200000</v>
      </c>
      <c r="F17" s="13" t="n">
        <v>-20000</v>
      </c>
      <c r="G17" s="13" t="n">
        <v>-30000</v>
      </c>
      <c r="H17" s="13" t="n">
        <v>-50000</v>
      </c>
      <c r="I17" s="13" t="n">
        <v>20000</v>
      </c>
      <c r="J17" s="13" t="n">
        <v>20000</v>
      </c>
      <c r="K17" s="13" t="n">
        <v>-90000</v>
      </c>
      <c r="L17" s="13" t="n">
        <v>-50000</v>
      </c>
      <c r="M17" s="13" t="n">
        <v>20000</v>
      </c>
      <c r="N17" s="13" t="n">
        <v>-70000</v>
      </c>
      <c r="O17" s="13" t="n">
        <v>50000</v>
      </c>
      <c r="P17" s="13" t="n">
        <v>-20000</v>
      </c>
      <c r="Q17" s="13" t="n">
        <v>-80000</v>
      </c>
      <c r="R17" s="13" t="n">
        <v>-100000</v>
      </c>
      <c r="S17" s="13" t="n">
        <v>-100000</v>
      </c>
      <c r="T17" s="13" t="n">
        <v>-60000</v>
      </c>
    </row>
    <row r="18">
      <c r="A18" s="11" t="n">
        <v>2100</v>
      </c>
      <c r="B18" s="11" t="inlineStr">
        <is>
          <t>Accrued liabilities</t>
        </is>
      </c>
      <c r="C18">
        <f>IFERROR(INDEX(Map!$C$2:$C$500,MATCH(A18,Map!$A$2:$A$500,0)),"UNMAPPED")</f>
        <v/>
      </c>
      <c r="D18">
        <f>IFERROR(INDEX(Map!$D$2:$D$500,MATCH(A18,Map!$A$2:$A$500,0)),"")</f>
        <v/>
      </c>
      <c r="E18" s="13" t="n">
        <v>-4050000</v>
      </c>
      <c r="F18" s="13" t="n">
        <v>-10000</v>
      </c>
      <c r="G18" s="13" t="n">
        <v>-20000</v>
      </c>
      <c r="H18" s="13" t="n">
        <v>-20000</v>
      </c>
      <c r="I18" s="13" t="n">
        <v>-20000</v>
      </c>
      <c r="J18" s="13" t="n">
        <v>-10000</v>
      </c>
      <c r="K18" s="13" t="n">
        <v>-20000</v>
      </c>
      <c r="L18" s="13" t="n">
        <v>-30000</v>
      </c>
      <c r="M18" s="13" t="n">
        <v>-20000</v>
      </c>
      <c r="N18" s="13" t="n">
        <v>-50000</v>
      </c>
      <c r="O18" s="13" t="n">
        <v>-30000</v>
      </c>
      <c r="P18" s="13" t="n">
        <v>-20000</v>
      </c>
      <c r="Q18" s="13" t="n">
        <v>-50000</v>
      </c>
      <c r="R18" s="13" t="n">
        <v>-50000</v>
      </c>
      <c r="S18" s="13" t="n">
        <v>-40000</v>
      </c>
      <c r="T18" s="13" t="n">
        <v>0</v>
      </c>
    </row>
    <row r="19">
      <c r="A19" s="11" t="n">
        <v>2500</v>
      </c>
      <c r="B19" s="11" t="inlineStr">
        <is>
          <t>Long-term debt</t>
        </is>
      </c>
      <c r="C19">
        <f>IFERROR(INDEX(Map!$C$2:$C$500,MATCH(A19,Map!$A$2:$A$500,0)),"UNMAPPED")</f>
        <v/>
      </c>
      <c r="D19">
        <f>IFERROR(INDEX(Map!$D$2:$D$500,MATCH(A19,Map!$A$2:$A$500,0)),"")</f>
        <v/>
      </c>
      <c r="E19" s="13" t="n">
        <v>-6200000</v>
      </c>
      <c r="F19" s="13" t="n">
        <v>100000</v>
      </c>
      <c r="G19" s="13" t="n">
        <v>100000</v>
      </c>
      <c r="H19" s="13" t="n">
        <v>100000</v>
      </c>
      <c r="I19" s="13" t="n">
        <v>100000</v>
      </c>
      <c r="J19" s="13" t="n">
        <v>100000</v>
      </c>
      <c r="K19" s="13" t="n">
        <v>100000</v>
      </c>
      <c r="L19" s="13" t="n">
        <v>100000</v>
      </c>
      <c r="M19" s="13" t="n">
        <v>100000</v>
      </c>
      <c r="N19" s="13" t="n">
        <v>100000</v>
      </c>
      <c r="O19" s="13" t="n">
        <v>100000</v>
      </c>
      <c r="P19" s="13" t="n">
        <v>100000</v>
      </c>
      <c r="Q19" s="13" t="n">
        <v>100000</v>
      </c>
      <c r="R19" s="13" t="n">
        <v>100000</v>
      </c>
      <c r="S19" s="13" t="n">
        <v>100000</v>
      </c>
      <c r="T19" s="13" t="n">
        <v>100000</v>
      </c>
    </row>
    <row r="20">
      <c r="A20" s="11" t="n">
        <v>3000</v>
      </c>
      <c r="B20" s="11" t="inlineStr">
        <is>
          <t>Equity and retained earnings</t>
        </is>
      </c>
      <c r="C20">
        <f>IFERROR(INDEX(Map!$C$2:$C$500,MATCH(A20,Map!$A$2:$A$500,0)),"UNMAPPED")</f>
        <v/>
      </c>
      <c r="D20">
        <f>IFERROR(INDEX(Map!$D$2:$D$500,MATCH(A20,Map!$A$2:$A$500,0)),"")</f>
        <v/>
      </c>
      <c r="E20" s="13" t="n">
        <v>-3041000</v>
      </c>
      <c r="F20" s="13" t="n">
        <v>0</v>
      </c>
      <c r="G20" s="13" t="n">
        <v>0</v>
      </c>
      <c r="H20" s="13" t="n">
        <v>0</v>
      </c>
      <c r="I20" s="13" t="n">
        <v>0</v>
      </c>
      <c r="J20" s="13" t="n">
        <v>0</v>
      </c>
      <c r="K20" s="13" t="n">
        <v>600000</v>
      </c>
      <c r="L20" s="13" t="n">
        <v>0</v>
      </c>
      <c r="M20" s="13" t="n">
        <v>0</v>
      </c>
      <c r="N20" s="13" t="n">
        <v>600000</v>
      </c>
      <c r="O20" s="13" t="n">
        <v>0</v>
      </c>
      <c r="P20" s="13" t="n">
        <v>0</v>
      </c>
      <c r="Q20" s="13" t="n">
        <v>600000</v>
      </c>
      <c r="R20" s="13" t="n">
        <v>0</v>
      </c>
      <c r="S20" s="13" t="n">
        <v>0</v>
      </c>
      <c r="T20" s="13"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4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2" customWidth="1" min="1" max="1"/>
    <col hidden="1" width="8"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s>
  <sheetData>
    <row r="1">
      <c r="A1" s="1" t="inlineStr">
        <is>
          <t>Calc</t>
        </is>
      </c>
    </row>
    <row r="2">
      <c r="A2" s="3" t="inlineStr">
        <is>
          <t>USD. Every line is a SUMIFS on the mapped line in TB. Balance sheet lines are closing balances; liabilities and equity shown positive. Equity excludes profit earned since the opening balance, which stays on the P&amp;L lines.</t>
        </is>
      </c>
    </row>
    <row r="4">
      <c r="A4" s="5" t="inlineStr">
        <is>
          <t>Line</t>
        </is>
      </c>
      <c r="B4" s="5" t="inlineStr">
        <is>
          <t>Kind</t>
        </is>
      </c>
      <c r="C4" s="5">
        <f>TB!F$1</f>
        <v/>
      </c>
      <c r="D4" s="5">
        <f>TB!G$1</f>
        <v/>
      </c>
      <c r="E4" s="5">
        <f>TB!H$1</f>
        <v/>
      </c>
      <c r="F4" s="5">
        <f>TB!I$1</f>
        <v/>
      </c>
      <c r="G4" s="5">
        <f>TB!J$1</f>
        <v/>
      </c>
      <c r="H4" s="5">
        <f>TB!K$1</f>
        <v/>
      </c>
      <c r="I4" s="5">
        <f>TB!L$1</f>
        <v/>
      </c>
      <c r="J4" s="5">
        <f>TB!M$1</f>
        <v/>
      </c>
      <c r="K4" s="5">
        <f>TB!N$1</f>
        <v/>
      </c>
      <c r="L4" s="5">
        <f>TB!O$1</f>
        <v/>
      </c>
      <c r="M4" s="5">
        <f>TB!P$1</f>
        <v/>
      </c>
      <c r="N4" s="5">
        <f>TB!Q$1</f>
        <v/>
      </c>
      <c r="O4" s="5">
        <f>TB!R$1</f>
        <v/>
      </c>
      <c r="P4" s="5">
        <f>TB!S$1</f>
        <v/>
      </c>
      <c r="Q4" s="5">
        <f>TB!T$1</f>
        <v/>
      </c>
    </row>
    <row r="5">
      <c r="A5" t="inlineStr">
        <is>
          <t>Revenue</t>
        </is>
      </c>
      <c r="B5" t="inlineStr">
        <is>
          <t>Revenue</t>
        </is>
      </c>
      <c r="C5" s="6">
        <f>-SUMIFS(TB!F$2:F$2000,TB!$C$2:$C$2000,"Revenue")</f>
        <v/>
      </c>
      <c r="D5" s="6">
        <f>-SUMIFS(TB!G$2:G$2000,TB!$C$2:$C$2000,"Revenue")</f>
        <v/>
      </c>
      <c r="E5" s="6">
        <f>-SUMIFS(TB!H$2:H$2000,TB!$C$2:$C$2000,"Revenue")</f>
        <v/>
      </c>
      <c r="F5" s="6">
        <f>-SUMIFS(TB!I$2:I$2000,TB!$C$2:$C$2000,"Revenue")</f>
        <v/>
      </c>
      <c r="G5" s="6">
        <f>-SUMIFS(TB!J$2:J$2000,TB!$C$2:$C$2000,"Revenue")</f>
        <v/>
      </c>
      <c r="H5" s="6">
        <f>-SUMIFS(TB!K$2:K$2000,TB!$C$2:$C$2000,"Revenue")</f>
        <v/>
      </c>
      <c r="I5" s="6">
        <f>-SUMIFS(TB!L$2:L$2000,TB!$C$2:$C$2000,"Revenue")</f>
        <v/>
      </c>
      <c r="J5" s="6">
        <f>-SUMIFS(TB!M$2:M$2000,TB!$C$2:$C$2000,"Revenue")</f>
        <v/>
      </c>
      <c r="K5" s="6">
        <f>-SUMIFS(TB!N$2:N$2000,TB!$C$2:$C$2000,"Revenue")</f>
        <v/>
      </c>
      <c r="L5" s="6">
        <f>-SUMIFS(TB!O$2:O$2000,TB!$C$2:$C$2000,"Revenue")</f>
        <v/>
      </c>
      <c r="M5" s="6">
        <f>-SUMIFS(TB!P$2:P$2000,TB!$C$2:$C$2000,"Revenue")</f>
        <v/>
      </c>
      <c r="N5" s="6">
        <f>-SUMIFS(TB!Q$2:Q$2000,TB!$C$2:$C$2000,"Revenue")</f>
        <v/>
      </c>
      <c r="O5" s="6">
        <f>-SUMIFS(TB!R$2:R$2000,TB!$C$2:$C$2000,"Revenue")</f>
        <v/>
      </c>
      <c r="P5" s="6">
        <f>-SUMIFS(TB!S$2:S$2000,TB!$C$2:$C$2000,"Revenue")</f>
        <v/>
      </c>
      <c r="Q5" s="6">
        <f>-SUMIFS(TB!T$2:T$2000,TB!$C$2:$C$2000,"Revenue")</f>
        <v/>
      </c>
    </row>
    <row r="6">
      <c r="A6" t="inlineStr">
        <is>
          <t>Cost of sales</t>
        </is>
      </c>
      <c r="B6" t="inlineStr">
        <is>
          <t>Cost of sales</t>
        </is>
      </c>
      <c r="C6" s="6">
        <f>SUMIFS(TB!F$2:F$2000,TB!$C$2:$C$2000,"Cost of sales")</f>
        <v/>
      </c>
      <c r="D6" s="6">
        <f>SUMIFS(TB!G$2:G$2000,TB!$C$2:$C$2000,"Cost of sales")</f>
        <v/>
      </c>
      <c r="E6" s="6">
        <f>SUMIFS(TB!H$2:H$2000,TB!$C$2:$C$2000,"Cost of sales")</f>
        <v/>
      </c>
      <c r="F6" s="6">
        <f>SUMIFS(TB!I$2:I$2000,TB!$C$2:$C$2000,"Cost of sales")</f>
        <v/>
      </c>
      <c r="G6" s="6">
        <f>SUMIFS(TB!J$2:J$2000,TB!$C$2:$C$2000,"Cost of sales")</f>
        <v/>
      </c>
      <c r="H6" s="6">
        <f>SUMIFS(TB!K$2:K$2000,TB!$C$2:$C$2000,"Cost of sales")</f>
        <v/>
      </c>
      <c r="I6" s="6">
        <f>SUMIFS(TB!L$2:L$2000,TB!$C$2:$C$2000,"Cost of sales")</f>
        <v/>
      </c>
      <c r="J6" s="6">
        <f>SUMIFS(TB!M$2:M$2000,TB!$C$2:$C$2000,"Cost of sales")</f>
        <v/>
      </c>
      <c r="K6" s="6">
        <f>SUMIFS(TB!N$2:N$2000,TB!$C$2:$C$2000,"Cost of sales")</f>
        <v/>
      </c>
      <c r="L6" s="6">
        <f>SUMIFS(TB!O$2:O$2000,TB!$C$2:$C$2000,"Cost of sales")</f>
        <v/>
      </c>
      <c r="M6" s="6">
        <f>SUMIFS(TB!P$2:P$2000,TB!$C$2:$C$2000,"Cost of sales")</f>
        <v/>
      </c>
      <c r="N6" s="6">
        <f>SUMIFS(TB!Q$2:Q$2000,TB!$C$2:$C$2000,"Cost of sales")</f>
        <v/>
      </c>
      <c r="O6" s="6">
        <f>SUMIFS(TB!R$2:R$2000,TB!$C$2:$C$2000,"Cost of sales")</f>
        <v/>
      </c>
      <c r="P6" s="6">
        <f>SUMIFS(TB!S$2:S$2000,TB!$C$2:$C$2000,"Cost of sales")</f>
        <v/>
      </c>
      <c r="Q6" s="6">
        <f>SUMIFS(TB!T$2:T$2000,TB!$C$2:$C$2000,"Cost of sales")</f>
        <v/>
      </c>
    </row>
    <row r="7">
      <c r="A7" s="14" t="inlineStr">
        <is>
          <t>Gross profit</t>
        </is>
      </c>
      <c r="B7" s="14" t="inlineStr">
        <is>
          <t>Gross profit</t>
        </is>
      </c>
      <c r="C7" s="15">
        <f>C5-C6</f>
        <v/>
      </c>
      <c r="D7" s="15">
        <f>D5-D6</f>
        <v/>
      </c>
      <c r="E7" s="15">
        <f>E5-E6</f>
        <v/>
      </c>
      <c r="F7" s="15">
        <f>F5-F6</f>
        <v/>
      </c>
      <c r="G7" s="15">
        <f>G5-G6</f>
        <v/>
      </c>
      <c r="H7" s="15">
        <f>H5-H6</f>
        <v/>
      </c>
      <c r="I7" s="15">
        <f>I5-I6</f>
        <v/>
      </c>
      <c r="J7" s="15">
        <f>J5-J6</f>
        <v/>
      </c>
      <c r="K7" s="15">
        <f>K5-K6</f>
        <v/>
      </c>
      <c r="L7" s="15">
        <f>L5-L6</f>
        <v/>
      </c>
      <c r="M7" s="15">
        <f>M5-M6</f>
        <v/>
      </c>
      <c r="N7" s="15">
        <f>N5-N6</f>
        <v/>
      </c>
      <c r="O7" s="15">
        <f>O5-O6</f>
        <v/>
      </c>
      <c r="P7" s="15">
        <f>P5-P6</f>
        <v/>
      </c>
      <c r="Q7" s="15">
        <f>Q5-Q6</f>
        <v/>
      </c>
    </row>
    <row r="8">
      <c r="A8" t="inlineStr">
        <is>
          <t>Gross margin</t>
        </is>
      </c>
      <c r="B8" t="inlineStr">
        <is>
          <t>Gross margin</t>
        </is>
      </c>
      <c r="C8" s="7">
        <f>IFERROR(C7/C5,"")</f>
        <v/>
      </c>
      <c r="D8" s="7">
        <f>IFERROR(D7/D5,"")</f>
        <v/>
      </c>
      <c r="E8" s="7">
        <f>IFERROR(E7/E5,"")</f>
        <v/>
      </c>
      <c r="F8" s="7">
        <f>IFERROR(F7/F5,"")</f>
        <v/>
      </c>
      <c r="G8" s="7">
        <f>IFERROR(G7/G5,"")</f>
        <v/>
      </c>
      <c r="H8" s="7">
        <f>IFERROR(H7/H5,"")</f>
        <v/>
      </c>
      <c r="I8" s="7">
        <f>IFERROR(I7/I5,"")</f>
        <v/>
      </c>
      <c r="J8" s="7">
        <f>IFERROR(J7/J5,"")</f>
        <v/>
      </c>
      <c r="K8" s="7">
        <f>IFERROR(K7/K5,"")</f>
        <v/>
      </c>
      <c r="L8" s="7">
        <f>IFERROR(L7/L5,"")</f>
        <v/>
      </c>
      <c r="M8" s="7">
        <f>IFERROR(M7/M5,"")</f>
        <v/>
      </c>
      <c r="N8" s="7">
        <f>IFERROR(N7/N5,"")</f>
        <v/>
      </c>
      <c r="O8" s="7">
        <f>IFERROR(O7/O5,"")</f>
        <v/>
      </c>
      <c r="P8" s="7">
        <f>IFERROR(P7/P5,"")</f>
        <v/>
      </c>
      <c r="Q8" s="7">
        <f>IFERROR(Q7/Q5,"")</f>
        <v/>
      </c>
    </row>
    <row r="9">
      <c r="A9" t="inlineStr">
        <is>
          <t>Operating expenses</t>
        </is>
      </c>
      <c r="B9" t="inlineStr">
        <is>
          <t>Operating expenses</t>
        </is>
      </c>
      <c r="C9" s="6">
        <f>SUMIFS(TB!F$2:F$2000,TB!$C$2:$C$2000,"Operating expenses")</f>
        <v/>
      </c>
      <c r="D9" s="6">
        <f>SUMIFS(TB!G$2:G$2000,TB!$C$2:$C$2000,"Operating expenses")</f>
        <v/>
      </c>
      <c r="E9" s="6">
        <f>SUMIFS(TB!H$2:H$2000,TB!$C$2:$C$2000,"Operating expenses")</f>
        <v/>
      </c>
      <c r="F9" s="6">
        <f>SUMIFS(TB!I$2:I$2000,TB!$C$2:$C$2000,"Operating expenses")</f>
        <v/>
      </c>
      <c r="G9" s="6">
        <f>SUMIFS(TB!J$2:J$2000,TB!$C$2:$C$2000,"Operating expenses")</f>
        <v/>
      </c>
      <c r="H9" s="6">
        <f>SUMIFS(TB!K$2:K$2000,TB!$C$2:$C$2000,"Operating expenses")</f>
        <v/>
      </c>
      <c r="I9" s="6">
        <f>SUMIFS(TB!L$2:L$2000,TB!$C$2:$C$2000,"Operating expenses")</f>
        <v/>
      </c>
      <c r="J9" s="6">
        <f>SUMIFS(TB!M$2:M$2000,TB!$C$2:$C$2000,"Operating expenses")</f>
        <v/>
      </c>
      <c r="K9" s="6">
        <f>SUMIFS(TB!N$2:N$2000,TB!$C$2:$C$2000,"Operating expenses")</f>
        <v/>
      </c>
      <c r="L9" s="6">
        <f>SUMIFS(TB!O$2:O$2000,TB!$C$2:$C$2000,"Operating expenses")</f>
        <v/>
      </c>
      <c r="M9" s="6">
        <f>SUMIFS(TB!P$2:P$2000,TB!$C$2:$C$2000,"Operating expenses")</f>
        <v/>
      </c>
      <c r="N9" s="6">
        <f>SUMIFS(TB!Q$2:Q$2000,TB!$C$2:$C$2000,"Operating expenses")</f>
        <v/>
      </c>
      <c r="O9" s="6">
        <f>SUMIFS(TB!R$2:R$2000,TB!$C$2:$C$2000,"Operating expenses")</f>
        <v/>
      </c>
      <c r="P9" s="6">
        <f>SUMIFS(TB!S$2:S$2000,TB!$C$2:$C$2000,"Operating expenses")</f>
        <v/>
      </c>
      <c r="Q9" s="6">
        <f>SUMIFS(TB!T$2:T$2000,TB!$C$2:$C$2000,"Operating expenses")</f>
        <v/>
      </c>
    </row>
    <row r="10">
      <c r="A10" s="14" t="inlineStr">
        <is>
          <t>EBITDA</t>
        </is>
      </c>
      <c r="B10" s="14" t="inlineStr">
        <is>
          <t>EBITDA</t>
        </is>
      </c>
      <c r="C10" s="15">
        <f>C7-C9</f>
        <v/>
      </c>
      <c r="D10" s="15">
        <f>D7-D9</f>
        <v/>
      </c>
      <c r="E10" s="15">
        <f>E7-E9</f>
        <v/>
      </c>
      <c r="F10" s="15">
        <f>F7-F9</f>
        <v/>
      </c>
      <c r="G10" s="15">
        <f>G7-G9</f>
        <v/>
      </c>
      <c r="H10" s="15">
        <f>H7-H9</f>
        <v/>
      </c>
      <c r="I10" s="15">
        <f>I7-I9</f>
        <v/>
      </c>
      <c r="J10" s="15">
        <f>J7-J9</f>
        <v/>
      </c>
      <c r="K10" s="15">
        <f>K7-K9</f>
        <v/>
      </c>
      <c r="L10" s="15">
        <f>L7-L9</f>
        <v/>
      </c>
      <c r="M10" s="15">
        <f>M7-M9</f>
        <v/>
      </c>
      <c r="N10" s="15">
        <f>N7-N9</f>
        <v/>
      </c>
      <c r="O10" s="15">
        <f>O7-O9</f>
        <v/>
      </c>
      <c r="P10" s="15">
        <f>P7-P9</f>
        <v/>
      </c>
      <c r="Q10" s="15">
        <f>Q7-Q9</f>
        <v/>
      </c>
    </row>
    <row r="11">
      <c r="A11" t="inlineStr">
        <is>
          <t>EBITDA margin</t>
        </is>
      </c>
      <c r="B11" t="inlineStr">
        <is>
          <t>EBITDA margin</t>
        </is>
      </c>
      <c r="C11" s="7">
        <f>IFERROR(C10/C5,"")</f>
        <v/>
      </c>
      <c r="D11" s="7">
        <f>IFERROR(D10/D5,"")</f>
        <v/>
      </c>
      <c r="E11" s="7">
        <f>IFERROR(E10/E5,"")</f>
        <v/>
      </c>
      <c r="F11" s="7">
        <f>IFERROR(F10/F5,"")</f>
        <v/>
      </c>
      <c r="G11" s="7">
        <f>IFERROR(G10/G5,"")</f>
        <v/>
      </c>
      <c r="H11" s="7">
        <f>IFERROR(H10/H5,"")</f>
        <v/>
      </c>
      <c r="I11" s="7">
        <f>IFERROR(I10/I5,"")</f>
        <v/>
      </c>
      <c r="J11" s="7">
        <f>IFERROR(J10/J5,"")</f>
        <v/>
      </c>
      <c r="K11" s="7">
        <f>IFERROR(K10/K5,"")</f>
        <v/>
      </c>
      <c r="L11" s="7">
        <f>IFERROR(L10/L5,"")</f>
        <v/>
      </c>
      <c r="M11" s="7">
        <f>IFERROR(M10/M5,"")</f>
        <v/>
      </c>
      <c r="N11" s="7">
        <f>IFERROR(N10/N5,"")</f>
        <v/>
      </c>
      <c r="O11" s="7">
        <f>IFERROR(O10/O5,"")</f>
        <v/>
      </c>
      <c r="P11" s="7">
        <f>IFERROR(P10/P5,"")</f>
        <v/>
      </c>
      <c r="Q11" s="7">
        <f>IFERROR(Q10/Q5,"")</f>
        <v/>
      </c>
    </row>
    <row r="12">
      <c r="A12" t="inlineStr">
        <is>
          <t>Depreciation and amortization</t>
        </is>
      </c>
      <c r="B12" t="inlineStr">
        <is>
          <t>Depreciation and amortization</t>
        </is>
      </c>
      <c r="C12" s="6">
        <f>SUMIFS(TB!F$2:F$2000,TB!$C$2:$C$2000,"Depreciation and amortization")</f>
        <v/>
      </c>
      <c r="D12" s="6">
        <f>SUMIFS(TB!G$2:G$2000,TB!$C$2:$C$2000,"Depreciation and amortization")</f>
        <v/>
      </c>
      <c r="E12" s="6">
        <f>SUMIFS(TB!H$2:H$2000,TB!$C$2:$C$2000,"Depreciation and amortization")</f>
        <v/>
      </c>
      <c r="F12" s="6">
        <f>SUMIFS(TB!I$2:I$2000,TB!$C$2:$C$2000,"Depreciation and amortization")</f>
        <v/>
      </c>
      <c r="G12" s="6">
        <f>SUMIFS(TB!J$2:J$2000,TB!$C$2:$C$2000,"Depreciation and amortization")</f>
        <v/>
      </c>
      <c r="H12" s="6">
        <f>SUMIFS(TB!K$2:K$2000,TB!$C$2:$C$2000,"Depreciation and amortization")</f>
        <v/>
      </c>
      <c r="I12" s="6">
        <f>SUMIFS(TB!L$2:L$2000,TB!$C$2:$C$2000,"Depreciation and amortization")</f>
        <v/>
      </c>
      <c r="J12" s="6">
        <f>SUMIFS(TB!M$2:M$2000,TB!$C$2:$C$2000,"Depreciation and amortization")</f>
        <v/>
      </c>
      <c r="K12" s="6">
        <f>SUMIFS(TB!N$2:N$2000,TB!$C$2:$C$2000,"Depreciation and amortization")</f>
        <v/>
      </c>
      <c r="L12" s="6">
        <f>SUMIFS(TB!O$2:O$2000,TB!$C$2:$C$2000,"Depreciation and amortization")</f>
        <v/>
      </c>
      <c r="M12" s="6">
        <f>SUMIFS(TB!P$2:P$2000,TB!$C$2:$C$2000,"Depreciation and amortization")</f>
        <v/>
      </c>
      <c r="N12" s="6">
        <f>SUMIFS(TB!Q$2:Q$2000,TB!$C$2:$C$2000,"Depreciation and amortization")</f>
        <v/>
      </c>
      <c r="O12" s="6">
        <f>SUMIFS(TB!R$2:R$2000,TB!$C$2:$C$2000,"Depreciation and amortization")</f>
        <v/>
      </c>
      <c r="P12" s="6">
        <f>SUMIFS(TB!S$2:S$2000,TB!$C$2:$C$2000,"Depreciation and amortization")</f>
        <v/>
      </c>
      <c r="Q12" s="6">
        <f>SUMIFS(TB!T$2:T$2000,TB!$C$2:$C$2000,"Depreciation and amortization")</f>
        <v/>
      </c>
    </row>
    <row r="13">
      <c r="A13" t="inlineStr">
        <is>
          <t>Interest expense</t>
        </is>
      </c>
      <c r="B13" t="inlineStr">
        <is>
          <t>Interest expense</t>
        </is>
      </c>
      <c r="C13" s="6">
        <f>SUMIFS(TB!F$2:F$2000,TB!$C$2:$C$2000,"Interest expense")</f>
        <v/>
      </c>
      <c r="D13" s="6">
        <f>SUMIFS(TB!G$2:G$2000,TB!$C$2:$C$2000,"Interest expense")</f>
        <v/>
      </c>
      <c r="E13" s="6">
        <f>SUMIFS(TB!H$2:H$2000,TB!$C$2:$C$2000,"Interest expense")</f>
        <v/>
      </c>
      <c r="F13" s="6">
        <f>SUMIFS(TB!I$2:I$2000,TB!$C$2:$C$2000,"Interest expense")</f>
        <v/>
      </c>
      <c r="G13" s="6">
        <f>SUMIFS(TB!J$2:J$2000,TB!$C$2:$C$2000,"Interest expense")</f>
        <v/>
      </c>
      <c r="H13" s="6">
        <f>SUMIFS(TB!K$2:K$2000,TB!$C$2:$C$2000,"Interest expense")</f>
        <v/>
      </c>
      <c r="I13" s="6">
        <f>SUMIFS(TB!L$2:L$2000,TB!$C$2:$C$2000,"Interest expense")</f>
        <v/>
      </c>
      <c r="J13" s="6">
        <f>SUMIFS(TB!M$2:M$2000,TB!$C$2:$C$2000,"Interest expense")</f>
        <v/>
      </c>
      <c r="K13" s="6">
        <f>SUMIFS(TB!N$2:N$2000,TB!$C$2:$C$2000,"Interest expense")</f>
        <v/>
      </c>
      <c r="L13" s="6">
        <f>SUMIFS(TB!O$2:O$2000,TB!$C$2:$C$2000,"Interest expense")</f>
        <v/>
      </c>
      <c r="M13" s="6">
        <f>SUMIFS(TB!P$2:P$2000,TB!$C$2:$C$2000,"Interest expense")</f>
        <v/>
      </c>
      <c r="N13" s="6">
        <f>SUMIFS(TB!Q$2:Q$2000,TB!$C$2:$C$2000,"Interest expense")</f>
        <v/>
      </c>
      <c r="O13" s="6">
        <f>SUMIFS(TB!R$2:R$2000,TB!$C$2:$C$2000,"Interest expense")</f>
        <v/>
      </c>
      <c r="P13" s="6">
        <f>SUMIFS(TB!S$2:S$2000,TB!$C$2:$C$2000,"Interest expense")</f>
        <v/>
      </c>
      <c r="Q13" s="6">
        <f>SUMIFS(TB!T$2:T$2000,TB!$C$2:$C$2000,"Interest expense")</f>
        <v/>
      </c>
    </row>
    <row r="14">
      <c r="A14" t="inlineStr">
        <is>
          <t>Income tax</t>
        </is>
      </c>
      <c r="B14" t="inlineStr">
        <is>
          <t>Income tax</t>
        </is>
      </c>
      <c r="C14" s="6">
        <f>SUMIFS(TB!F$2:F$2000,TB!$C$2:$C$2000,"Income tax")</f>
        <v/>
      </c>
      <c r="D14" s="6">
        <f>SUMIFS(TB!G$2:G$2000,TB!$C$2:$C$2000,"Income tax")</f>
        <v/>
      </c>
      <c r="E14" s="6">
        <f>SUMIFS(TB!H$2:H$2000,TB!$C$2:$C$2000,"Income tax")</f>
        <v/>
      </c>
      <c r="F14" s="6">
        <f>SUMIFS(TB!I$2:I$2000,TB!$C$2:$C$2000,"Income tax")</f>
        <v/>
      </c>
      <c r="G14" s="6">
        <f>SUMIFS(TB!J$2:J$2000,TB!$C$2:$C$2000,"Income tax")</f>
        <v/>
      </c>
      <c r="H14" s="6">
        <f>SUMIFS(TB!K$2:K$2000,TB!$C$2:$C$2000,"Income tax")</f>
        <v/>
      </c>
      <c r="I14" s="6">
        <f>SUMIFS(TB!L$2:L$2000,TB!$C$2:$C$2000,"Income tax")</f>
        <v/>
      </c>
      <c r="J14" s="6">
        <f>SUMIFS(TB!M$2:M$2000,TB!$C$2:$C$2000,"Income tax")</f>
        <v/>
      </c>
      <c r="K14" s="6">
        <f>SUMIFS(TB!N$2:N$2000,TB!$C$2:$C$2000,"Income tax")</f>
        <v/>
      </c>
      <c r="L14" s="6">
        <f>SUMIFS(TB!O$2:O$2000,TB!$C$2:$C$2000,"Income tax")</f>
        <v/>
      </c>
      <c r="M14" s="6">
        <f>SUMIFS(TB!P$2:P$2000,TB!$C$2:$C$2000,"Income tax")</f>
        <v/>
      </c>
      <c r="N14" s="6">
        <f>SUMIFS(TB!Q$2:Q$2000,TB!$C$2:$C$2000,"Income tax")</f>
        <v/>
      </c>
      <c r="O14" s="6">
        <f>SUMIFS(TB!R$2:R$2000,TB!$C$2:$C$2000,"Income tax")</f>
        <v/>
      </c>
      <c r="P14" s="6">
        <f>SUMIFS(TB!S$2:S$2000,TB!$C$2:$C$2000,"Income tax")</f>
        <v/>
      </c>
      <c r="Q14" s="6">
        <f>SUMIFS(TB!T$2:T$2000,TB!$C$2:$C$2000,"Income tax")</f>
        <v/>
      </c>
    </row>
    <row r="15">
      <c r="A15" s="14" t="inlineStr">
        <is>
          <t>Net income</t>
        </is>
      </c>
      <c r="B15" s="14" t="inlineStr">
        <is>
          <t>Net income</t>
        </is>
      </c>
      <c r="C15" s="15">
        <f>C10-C12-C13-C14</f>
        <v/>
      </c>
      <c r="D15" s="15">
        <f>D10-D12-D13-D14</f>
        <v/>
      </c>
      <c r="E15" s="15">
        <f>E10-E12-E13-E14</f>
        <v/>
      </c>
      <c r="F15" s="15">
        <f>F10-F12-F13-F14</f>
        <v/>
      </c>
      <c r="G15" s="15">
        <f>G10-G12-G13-G14</f>
        <v/>
      </c>
      <c r="H15" s="15">
        <f>H10-H12-H13-H14</f>
        <v/>
      </c>
      <c r="I15" s="15">
        <f>I10-I12-I13-I14</f>
        <v/>
      </c>
      <c r="J15" s="15">
        <f>J10-J12-J13-J14</f>
        <v/>
      </c>
      <c r="K15" s="15">
        <f>K10-K12-K13-K14</f>
        <v/>
      </c>
      <c r="L15" s="15">
        <f>L10-L12-L13-L14</f>
        <v/>
      </c>
      <c r="M15" s="15">
        <f>M10-M12-M13-M14</f>
        <v/>
      </c>
      <c r="N15" s="15">
        <f>N10-N12-N13-N14</f>
        <v/>
      </c>
      <c r="O15" s="15">
        <f>O10-O12-O13-O14</f>
        <v/>
      </c>
      <c r="P15" s="15">
        <f>P10-P12-P13-P14</f>
        <v/>
      </c>
      <c r="Q15" s="15">
        <f>Q10-Q12-Q13-Q14</f>
        <v/>
      </c>
    </row>
    <row r="16">
      <c r="A16" s="16" t="inlineStr">
        <is>
          <t>Balance sheet, closing</t>
        </is>
      </c>
    </row>
    <row r="17">
      <c r="A17" t="inlineStr">
        <is>
          <t>Cash</t>
        </is>
      </c>
      <c r="B17" t="inlineStr">
        <is>
          <t>Cash</t>
        </is>
      </c>
      <c r="C17" s="6">
        <f>SUMIFS(TB!E$2:E$2000,TB!$C$2:$C$2000,"Cash")+SUMIFS(TB!F$2:F$2000,TB!$C$2:$C$2000,"Cash")</f>
        <v/>
      </c>
      <c r="D17" s="6">
        <f>C17+SUMIFS(TB!G$2:G$2000,TB!$C$2:$C$2000,"Cash")</f>
        <v/>
      </c>
      <c r="E17" s="6">
        <f>D17+SUMIFS(TB!H$2:H$2000,TB!$C$2:$C$2000,"Cash")</f>
        <v/>
      </c>
      <c r="F17" s="6">
        <f>E17+SUMIFS(TB!I$2:I$2000,TB!$C$2:$C$2000,"Cash")</f>
        <v/>
      </c>
      <c r="G17" s="6">
        <f>F17+SUMIFS(TB!J$2:J$2000,TB!$C$2:$C$2000,"Cash")</f>
        <v/>
      </c>
      <c r="H17" s="6">
        <f>G17+SUMIFS(TB!K$2:K$2000,TB!$C$2:$C$2000,"Cash")</f>
        <v/>
      </c>
      <c r="I17" s="6">
        <f>H17+SUMIFS(TB!L$2:L$2000,TB!$C$2:$C$2000,"Cash")</f>
        <v/>
      </c>
      <c r="J17" s="6">
        <f>I17+SUMIFS(TB!M$2:M$2000,TB!$C$2:$C$2000,"Cash")</f>
        <v/>
      </c>
      <c r="K17" s="6">
        <f>J17+SUMIFS(TB!N$2:N$2000,TB!$C$2:$C$2000,"Cash")</f>
        <v/>
      </c>
      <c r="L17" s="6">
        <f>K17+SUMIFS(TB!O$2:O$2000,TB!$C$2:$C$2000,"Cash")</f>
        <v/>
      </c>
      <c r="M17" s="6">
        <f>L17+SUMIFS(TB!P$2:P$2000,TB!$C$2:$C$2000,"Cash")</f>
        <v/>
      </c>
      <c r="N17" s="6">
        <f>M17+SUMIFS(TB!Q$2:Q$2000,TB!$C$2:$C$2000,"Cash")</f>
        <v/>
      </c>
      <c r="O17" s="6">
        <f>N17+SUMIFS(TB!R$2:R$2000,TB!$C$2:$C$2000,"Cash")</f>
        <v/>
      </c>
      <c r="P17" s="6">
        <f>O17+SUMIFS(TB!S$2:S$2000,TB!$C$2:$C$2000,"Cash")</f>
        <v/>
      </c>
      <c r="Q17" s="6">
        <f>P17+SUMIFS(TB!T$2:T$2000,TB!$C$2:$C$2000,"Cash")</f>
        <v/>
      </c>
    </row>
    <row r="18">
      <c r="A18" t="inlineStr">
        <is>
          <t>Accounts receivable</t>
        </is>
      </c>
      <c r="B18" t="inlineStr">
        <is>
          <t>Accounts receivable</t>
        </is>
      </c>
      <c r="C18" s="6">
        <f>SUMIFS(TB!E$2:E$2000,TB!$C$2:$C$2000,"Accounts receivable")+SUMIFS(TB!F$2:F$2000,TB!$C$2:$C$2000,"Accounts receivable")</f>
        <v/>
      </c>
      <c r="D18" s="6">
        <f>C18+SUMIFS(TB!G$2:G$2000,TB!$C$2:$C$2000,"Accounts receivable")</f>
        <v/>
      </c>
      <c r="E18" s="6">
        <f>D18+SUMIFS(TB!H$2:H$2000,TB!$C$2:$C$2000,"Accounts receivable")</f>
        <v/>
      </c>
      <c r="F18" s="6">
        <f>E18+SUMIFS(TB!I$2:I$2000,TB!$C$2:$C$2000,"Accounts receivable")</f>
        <v/>
      </c>
      <c r="G18" s="6">
        <f>F18+SUMIFS(TB!J$2:J$2000,TB!$C$2:$C$2000,"Accounts receivable")</f>
        <v/>
      </c>
      <c r="H18" s="6">
        <f>G18+SUMIFS(TB!K$2:K$2000,TB!$C$2:$C$2000,"Accounts receivable")</f>
        <v/>
      </c>
      <c r="I18" s="6">
        <f>H18+SUMIFS(TB!L$2:L$2000,TB!$C$2:$C$2000,"Accounts receivable")</f>
        <v/>
      </c>
      <c r="J18" s="6">
        <f>I18+SUMIFS(TB!M$2:M$2000,TB!$C$2:$C$2000,"Accounts receivable")</f>
        <v/>
      </c>
      <c r="K18" s="6">
        <f>J18+SUMIFS(TB!N$2:N$2000,TB!$C$2:$C$2000,"Accounts receivable")</f>
        <v/>
      </c>
      <c r="L18" s="6">
        <f>K18+SUMIFS(TB!O$2:O$2000,TB!$C$2:$C$2000,"Accounts receivable")</f>
        <v/>
      </c>
      <c r="M18" s="6">
        <f>L18+SUMIFS(TB!P$2:P$2000,TB!$C$2:$C$2000,"Accounts receivable")</f>
        <v/>
      </c>
      <c r="N18" s="6">
        <f>M18+SUMIFS(TB!Q$2:Q$2000,TB!$C$2:$C$2000,"Accounts receivable")</f>
        <v/>
      </c>
      <c r="O18" s="6">
        <f>N18+SUMIFS(TB!R$2:R$2000,TB!$C$2:$C$2000,"Accounts receivable")</f>
        <v/>
      </c>
      <c r="P18" s="6">
        <f>O18+SUMIFS(TB!S$2:S$2000,TB!$C$2:$C$2000,"Accounts receivable")</f>
        <v/>
      </c>
      <c r="Q18" s="6">
        <f>P18+SUMIFS(TB!T$2:T$2000,TB!$C$2:$C$2000,"Accounts receivable")</f>
        <v/>
      </c>
    </row>
    <row r="19">
      <c r="A19" t="inlineStr">
        <is>
          <t>Inventory</t>
        </is>
      </c>
      <c r="B19" t="inlineStr">
        <is>
          <t>Inventory</t>
        </is>
      </c>
      <c r="C19" s="6">
        <f>SUMIFS(TB!E$2:E$2000,TB!$C$2:$C$2000,"Inventory")+SUMIFS(TB!F$2:F$2000,TB!$C$2:$C$2000,"Inventory")</f>
        <v/>
      </c>
      <c r="D19" s="6">
        <f>C19+SUMIFS(TB!G$2:G$2000,TB!$C$2:$C$2000,"Inventory")</f>
        <v/>
      </c>
      <c r="E19" s="6">
        <f>D19+SUMIFS(TB!H$2:H$2000,TB!$C$2:$C$2000,"Inventory")</f>
        <v/>
      </c>
      <c r="F19" s="6">
        <f>E19+SUMIFS(TB!I$2:I$2000,TB!$C$2:$C$2000,"Inventory")</f>
        <v/>
      </c>
      <c r="G19" s="6">
        <f>F19+SUMIFS(TB!J$2:J$2000,TB!$C$2:$C$2000,"Inventory")</f>
        <v/>
      </c>
      <c r="H19" s="6">
        <f>G19+SUMIFS(TB!K$2:K$2000,TB!$C$2:$C$2000,"Inventory")</f>
        <v/>
      </c>
      <c r="I19" s="6">
        <f>H19+SUMIFS(TB!L$2:L$2000,TB!$C$2:$C$2000,"Inventory")</f>
        <v/>
      </c>
      <c r="J19" s="6">
        <f>I19+SUMIFS(TB!M$2:M$2000,TB!$C$2:$C$2000,"Inventory")</f>
        <v/>
      </c>
      <c r="K19" s="6">
        <f>J19+SUMIFS(TB!N$2:N$2000,TB!$C$2:$C$2000,"Inventory")</f>
        <v/>
      </c>
      <c r="L19" s="6">
        <f>K19+SUMIFS(TB!O$2:O$2000,TB!$C$2:$C$2000,"Inventory")</f>
        <v/>
      </c>
      <c r="M19" s="6">
        <f>L19+SUMIFS(TB!P$2:P$2000,TB!$C$2:$C$2000,"Inventory")</f>
        <v/>
      </c>
      <c r="N19" s="6">
        <f>M19+SUMIFS(TB!Q$2:Q$2000,TB!$C$2:$C$2000,"Inventory")</f>
        <v/>
      </c>
      <c r="O19" s="6">
        <f>N19+SUMIFS(TB!R$2:R$2000,TB!$C$2:$C$2000,"Inventory")</f>
        <v/>
      </c>
      <c r="P19" s="6">
        <f>O19+SUMIFS(TB!S$2:S$2000,TB!$C$2:$C$2000,"Inventory")</f>
        <v/>
      </c>
      <c r="Q19" s="6">
        <f>P19+SUMIFS(TB!T$2:T$2000,TB!$C$2:$C$2000,"Inventory")</f>
        <v/>
      </c>
    </row>
    <row r="20">
      <c r="A20" t="inlineStr">
        <is>
          <t>Other current assets</t>
        </is>
      </c>
      <c r="B20" t="inlineStr">
        <is>
          <t>Other current assets</t>
        </is>
      </c>
      <c r="C20" s="6">
        <f>SUMIFS(TB!E$2:E$2000,TB!$C$2:$C$2000,"Other current assets")+SUMIFS(TB!F$2:F$2000,TB!$C$2:$C$2000,"Other current assets")</f>
        <v/>
      </c>
      <c r="D20" s="6">
        <f>C20+SUMIFS(TB!G$2:G$2000,TB!$C$2:$C$2000,"Other current assets")</f>
        <v/>
      </c>
      <c r="E20" s="6">
        <f>D20+SUMIFS(TB!H$2:H$2000,TB!$C$2:$C$2000,"Other current assets")</f>
        <v/>
      </c>
      <c r="F20" s="6">
        <f>E20+SUMIFS(TB!I$2:I$2000,TB!$C$2:$C$2000,"Other current assets")</f>
        <v/>
      </c>
      <c r="G20" s="6">
        <f>F20+SUMIFS(TB!J$2:J$2000,TB!$C$2:$C$2000,"Other current assets")</f>
        <v/>
      </c>
      <c r="H20" s="6">
        <f>G20+SUMIFS(TB!K$2:K$2000,TB!$C$2:$C$2000,"Other current assets")</f>
        <v/>
      </c>
      <c r="I20" s="6">
        <f>H20+SUMIFS(TB!L$2:L$2000,TB!$C$2:$C$2000,"Other current assets")</f>
        <v/>
      </c>
      <c r="J20" s="6">
        <f>I20+SUMIFS(TB!M$2:M$2000,TB!$C$2:$C$2000,"Other current assets")</f>
        <v/>
      </c>
      <c r="K20" s="6">
        <f>J20+SUMIFS(TB!N$2:N$2000,TB!$C$2:$C$2000,"Other current assets")</f>
        <v/>
      </c>
      <c r="L20" s="6">
        <f>K20+SUMIFS(TB!O$2:O$2000,TB!$C$2:$C$2000,"Other current assets")</f>
        <v/>
      </c>
      <c r="M20" s="6">
        <f>L20+SUMIFS(TB!P$2:P$2000,TB!$C$2:$C$2000,"Other current assets")</f>
        <v/>
      </c>
      <c r="N20" s="6">
        <f>M20+SUMIFS(TB!Q$2:Q$2000,TB!$C$2:$C$2000,"Other current assets")</f>
        <v/>
      </c>
      <c r="O20" s="6">
        <f>N20+SUMIFS(TB!R$2:R$2000,TB!$C$2:$C$2000,"Other current assets")</f>
        <v/>
      </c>
      <c r="P20" s="6">
        <f>O20+SUMIFS(TB!S$2:S$2000,TB!$C$2:$C$2000,"Other current assets")</f>
        <v/>
      </c>
      <c r="Q20" s="6">
        <f>P20+SUMIFS(TB!T$2:T$2000,TB!$C$2:$C$2000,"Other current assets")</f>
        <v/>
      </c>
    </row>
    <row r="21">
      <c r="A21" t="inlineStr">
        <is>
          <t>Fixed assets</t>
        </is>
      </c>
      <c r="B21" t="inlineStr">
        <is>
          <t>Fixed assets</t>
        </is>
      </c>
      <c r="C21" s="6">
        <f>SUMIFS(TB!E$2:E$2000,TB!$C$2:$C$2000,"Fixed assets")+SUMIFS(TB!F$2:F$2000,TB!$C$2:$C$2000,"Fixed assets")</f>
        <v/>
      </c>
      <c r="D21" s="6">
        <f>C21+SUMIFS(TB!G$2:G$2000,TB!$C$2:$C$2000,"Fixed assets")</f>
        <v/>
      </c>
      <c r="E21" s="6">
        <f>D21+SUMIFS(TB!H$2:H$2000,TB!$C$2:$C$2000,"Fixed assets")</f>
        <v/>
      </c>
      <c r="F21" s="6">
        <f>E21+SUMIFS(TB!I$2:I$2000,TB!$C$2:$C$2000,"Fixed assets")</f>
        <v/>
      </c>
      <c r="G21" s="6">
        <f>F21+SUMIFS(TB!J$2:J$2000,TB!$C$2:$C$2000,"Fixed assets")</f>
        <v/>
      </c>
      <c r="H21" s="6">
        <f>G21+SUMIFS(TB!K$2:K$2000,TB!$C$2:$C$2000,"Fixed assets")</f>
        <v/>
      </c>
      <c r="I21" s="6">
        <f>H21+SUMIFS(TB!L$2:L$2000,TB!$C$2:$C$2000,"Fixed assets")</f>
        <v/>
      </c>
      <c r="J21" s="6">
        <f>I21+SUMIFS(TB!M$2:M$2000,TB!$C$2:$C$2000,"Fixed assets")</f>
        <v/>
      </c>
      <c r="K21" s="6">
        <f>J21+SUMIFS(TB!N$2:N$2000,TB!$C$2:$C$2000,"Fixed assets")</f>
        <v/>
      </c>
      <c r="L21" s="6">
        <f>K21+SUMIFS(TB!O$2:O$2000,TB!$C$2:$C$2000,"Fixed assets")</f>
        <v/>
      </c>
      <c r="M21" s="6">
        <f>L21+SUMIFS(TB!P$2:P$2000,TB!$C$2:$C$2000,"Fixed assets")</f>
        <v/>
      </c>
      <c r="N21" s="6">
        <f>M21+SUMIFS(TB!Q$2:Q$2000,TB!$C$2:$C$2000,"Fixed assets")</f>
        <v/>
      </c>
      <c r="O21" s="6">
        <f>N21+SUMIFS(TB!R$2:R$2000,TB!$C$2:$C$2000,"Fixed assets")</f>
        <v/>
      </c>
      <c r="P21" s="6">
        <f>O21+SUMIFS(TB!S$2:S$2000,TB!$C$2:$C$2000,"Fixed assets")</f>
        <v/>
      </c>
      <c r="Q21" s="6">
        <f>P21+SUMIFS(TB!T$2:T$2000,TB!$C$2:$C$2000,"Fixed assets")</f>
        <v/>
      </c>
    </row>
    <row r="22">
      <c r="A22" t="inlineStr">
        <is>
          <t>Accumulated depreciation</t>
        </is>
      </c>
      <c r="B22" t="inlineStr">
        <is>
          <t>Accumulated depreciation</t>
        </is>
      </c>
      <c r="C22" s="6">
        <f>SUMIFS(TB!E$2:E$2000,TB!$C$2:$C$2000,"Accumulated depreciation")+SUMIFS(TB!F$2:F$2000,TB!$C$2:$C$2000,"Accumulated depreciation")</f>
        <v/>
      </c>
      <c r="D22" s="6">
        <f>C22+SUMIFS(TB!G$2:G$2000,TB!$C$2:$C$2000,"Accumulated depreciation")</f>
        <v/>
      </c>
      <c r="E22" s="6">
        <f>D22+SUMIFS(TB!H$2:H$2000,TB!$C$2:$C$2000,"Accumulated depreciation")</f>
        <v/>
      </c>
      <c r="F22" s="6">
        <f>E22+SUMIFS(TB!I$2:I$2000,TB!$C$2:$C$2000,"Accumulated depreciation")</f>
        <v/>
      </c>
      <c r="G22" s="6">
        <f>F22+SUMIFS(TB!J$2:J$2000,TB!$C$2:$C$2000,"Accumulated depreciation")</f>
        <v/>
      </c>
      <c r="H22" s="6">
        <f>G22+SUMIFS(TB!K$2:K$2000,TB!$C$2:$C$2000,"Accumulated depreciation")</f>
        <v/>
      </c>
      <c r="I22" s="6">
        <f>H22+SUMIFS(TB!L$2:L$2000,TB!$C$2:$C$2000,"Accumulated depreciation")</f>
        <v/>
      </c>
      <c r="J22" s="6">
        <f>I22+SUMIFS(TB!M$2:M$2000,TB!$C$2:$C$2000,"Accumulated depreciation")</f>
        <v/>
      </c>
      <c r="K22" s="6">
        <f>J22+SUMIFS(TB!N$2:N$2000,TB!$C$2:$C$2000,"Accumulated depreciation")</f>
        <v/>
      </c>
      <c r="L22" s="6">
        <f>K22+SUMIFS(TB!O$2:O$2000,TB!$C$2:$C$2000,"Accumulated depreciation")</f>
        <v/>
      </c>
      <c r="M22" s="6">
        <f>L22+SUMIFS(TB!P$2:P$2000,TB!$C$2:$C$2000,"Accumulated depreciation")</f>
        <v/>
      </c>
      <c r="N22" s="6">
        <f>M22+SUMIFS(TB!Q$2:Q$2000,TB!$C$2:$C$2000,"Accumulated depreciation")</f>
        <v/>
      </c>
      <c r="O22" s="6">
        <f>N22+SUMIFS(TB!R$2:R$2000,TB!$C$2:$C$2000,"Accumulated depreciation")</f>
        <v/>
      </c>
      <c r="P22" s="6">
        <f>O22+SUMIFS(TB!S$2:S$2000,TB!$C$2:$C$2000,"Accumulated depreciation")</f>
        <v/>
      </c>
      <c r="Q22" s="6">
        <f>P22+SUMIFS(TB!T$2:T$2000,TB!$C$2:$C$2000,"Accumulated depreciation")</f>
        <v/>
      </c>
    </row>
    <row r="23">
      <c r="A23" t="inlineStr">
        <is>
          <t>Accounts payable</t>
        </is>
      </c>
      <c r="B23" t="inlineStr">
        <is>
          <t>Accounts payable</t>
        </is>
      </c>
      <c r="C23" s="6">
        <f>-SUMIFS(TB!E$2:E$2000,TB!$C$2:$C$2000,"Accounts payable")-SUMIFS(TB!F$2:F$2000,TB!$C$2:$C$2000,"Accounts payable")</f>
        <v/>
      </c>
      <c r="D23" s="6">
        <f>C23-SUMIFS(TB!G$2:G$2000,TB!$C$2:$C$2000,"Accounts payable")</f>
        <v/>
      </c>
      <c r="E23" s="6">
        <f>D23-SUMIFS(TB!H$2:H$2000,TB!$C$2:$C$2000,"Accounts payable")</f>
        <v/>
      </c>
      <c r="F23" s="6">
        <f>E23-SUMIFS(TB!I$2:I$2000,TB!$C$2:$C$2000,"Accounts payable")</f>
        <v/>
      </c>
      <c r="G23" s="6">
        <f>F23-SUMIFS(TB!J$2:J$2000,TB!$C$2:$C$2000,"Accounts payable")</f>
        <v/>
      </c>
      <c r="H23" s="6">
        <f>G23-SUMIFS(TB!K$2:K$2000,TB!$C$2:$C$2000,"Accounts payable")</f>
        <v/>
      </c>
      <c r="I23" s="6">
        <f>H23-SUMIFS(TB!L$2:L$2000,TB!$C$2:$C$2000,"Accounts payable")</f>
        <v/>
      </c>
      <c r="J23" s="6">
        <f>I23-SUMIFS(TB!M$2:M$2000,TB!$C$2:$C$2000,"Accounts payable")</f>
        <v/>
      </c>
      <c r="K23" s="6">
        <f>J23-SUMIFS(TB!N$2:N$2000,TB!$C$2:$C$2000,"Accounts payable")</f>
        <v/>
      </c>
      <c r="L23" s="6">
        <f>K23-SUMIFS(TB!O$2:O$2000,TB!$C$2:$C$2000,"Accounts payable")</f>
        <v/>
      </c>
      <c r="M23" s="6">
        <f>L23-SUMIFS(TB!P$2:P$2000,TB!$C$2:$C$2000,"Accounts payable")</f>
        <v/>
      </c>
      <c r="N23" s="6">
        <f>M23-SUMIFS(TB!Q$2:Q$2000,TB!$C$2:$C$2000,"Accounts payable")</f>
        <v/>
      </c>
      <c r="O23" s="6">
        <f>N23-SUMIFS(TB!R$2:R$2000,TB!$C$2:$C$2000,"Accounts payable")</f>
        <v/>
      </c>
      <c r="P23" s="6">
        <f>O23-SUMIFS(TB!S$2:S$2000,TB!$C$2:$C$2000,"Accounts payable")</f>
        <v/>
      </c>
      <c r="Q23" s="6">
        <f>P23-SUMIFS(TB!T$2:T$2000,TB!$C$2:$C$2000,"Accounts payable")</f>
        <v/>
      </c>
    </row>
    <row r="24">
      <c r="A24" t="inlineStr">
        <is>
          <t>Other current liabilities</t>
        </is>
      </c>
      <c r="B24" t="inlineStr">
        <is>
          <t>Other current liabilities</t>
        </is>
      </c>
      <c r="C24" s="6">
        <f>-SUMIFS(TB!E$2:E$2000,TB!$C$2:$C$2000,"Other current liabilities")-SUMIFS(TB!F$2:F$2000,TB!$C$2:$C$2000,"Other current liabilities")</f>
        <v/>
      </c>
      <c r="D24" s="6">
        <f>C24-SUMIFS(TB!G$2:G$2000,TB!$C$2:$C$2000,"Other current liabilities")</f>
        <v/>
      </c>
      <c r="E24" s="6">
        <f>D24-SUMIFS(TB!H$2:H$2000,TB!$C$2:$C$2000,"Other current liabilities")</f>
        <v/>
      </c>
      <c r="F24" s="6">
        <f>E24-SUMIFS(TB!I$2:I$2000,TB!$C$2:$C$2000,"Other current liabilities")</f>
        <v/>
      </c>
      <c r="G24" s="6">
        <f>F24-SUMIFS(TB!J$2:J$2000,TB!$C$2:$C$2000,"Other current liabilities")</f>
        <v/>
      </c>
      <c r="H24" s="6">
        <f>G24-SUMIFS(TB!K$2:K$2000,TB!$C$2:$C$2000,"Other current liabilities")</f>
        <v/>
      </c>
      <c r="I24" s="6">
        <f>H24-SUMIFS(TB!L$2:L$2000,TB!$C$2:$C$2000,"Other current liabilities")</f>
        <v/>
      </c>
      <c r="J24" s="6">
        <f>I24-SUMIFS(TB!M$2:M$2000,TB!$C$2:$C$2000,"Other current liabilities")</f>
        <v/>
      </c>
      <c r="K24" s="6">
        <f>J24-SUMIFS(TB!N$2:N$2000,TB!$C$2:$C$2000,"Other current liabilities")</f>
        <v/>
      </c>
      <c r="L24" s="6">
        <f>K24-SUMIFS(TB!O$2:O$2000,TB!$C$2:$C$2000,"Other current liabilities")</f>
        <v/>
      </c>
      <c r="M24" s="6">
        <f>L24-SUMIFS(TB!P$2:P$2000,TB!$C$2:$C$2000,"Other current liabilities")</f>
        <v/>
      </c>
      <c r="N24" s="6">
        <f>M24-SUMIFS(TB!Q$2:Q$2000,TB!$C$2:$C$2000,"Other current liabilities")</f>
        <v/>
      </c>
      <c r="O24" s="6">
        <f>N24-SUMIFS(TB!R$2:R$2000,TB!$C$2:$C$2000,"Other current liabilities")</f>
        <v/>
      </c>
      <c r="P24" s="6">
        <f>O24-SUMIFS(TB!S$2:S$2000,TB!$C$2:$C$2000,"Other current liabilities")</f>
        <v/>
      </c>
      <c r="Q24" s="6">
        <f>P24-SUMIFS(TB!T$2:T$2000,TB!$C$2:$C$2000,"Other current liabilities")</f>
        <v/>
      </c>
    </row>
    <row r="25">
      <c r="A25" t="inlineStr">
        <is>
          <t>Long-term debt</t>
        </is>
      </c>
      <c r="B25" t="inlineStr">
        <is>
          <t>Long-term debt</t>
        </is>
      </c>
      <c r="C25" s="6">
        <f>-SUMIFS(TB!E$2:E$2000,TB!$C$2:$C$2000,"Long-term debt")-SUMIFS(TB!F$2:F$2000,TB!$C$2:$C$2000,"Long-term debt")</f>
        <v/>
      </c>
      <c r="D25" s="6">
        <f>C25-SUMIFS(TB!G$2:G$2000,TB!$C$2:$C$2000,"Long-term debt")</f>
        <v/>
      </c>
      <c r="E25" s="6">
        <f>D25-SUMIFS(TB!H$2:H$2000,TB!$C$2:$C$2000,"Long-term debt")</f>
        <v/>
      </c>
      <c r="F25" s="6">
        <f>E25-SUMIFS(TB!I$2:I$2000,TB!$C$2:$C$2000,"Long-term debt")</f>
        <v/>
      </c>
      <c r="G25" s="6">
        <f>F25-SUMIFS(TB!J$2:J$2000,TB!$C$2:$C$2000,"Long-term debt")</f>
        <v/>
      </c>
      <c r="H25" s="6">
        <f>G25-SUMIFS(TB!K$2:K$2000,TB!$C$2:$C$2000,"Long-term debt")</f>
        <v/>
      </c>
      <c r="I25" s="6">
        <f>H25-SUMIFS(TB!L$2:L$2000,TB!$C$2:$C$2000,"Long-term debt")</f>
        <v/>
      </c>
      <c r="J25" s="6">
        <f>I25-SUMIFS(TB!M$2:M$2000,TB!$C$2:$C$2000,"Long-term debt")</f>
        <v/>
      </c>
      <c r="K25" s="6">
        <f>J25-SUMIFS(TB!N$2:N$2000,TB!$C$2:$C$2000,"Long-term debt")</f>
        <v/>
      </c>
      <c r="L25" s="6">
        <f>K25-SUMIFS(TB!O$2:O$2000,TB!$C$2:$C$2000,"Long-term debt")</f>
        <v/>
      </c>
      <c r="M25" s="6">
        <f>L25-SUMIFS(TB!P$2:P$2000,TB!$C$2:$C$2000,"Long-term debt")</f>
        <v/>
      </c>
      <c r="N25" s="6">
        <f>M25-SUMIFS(TB!Q$2:Q$2000,TB!$C$2:$C$2000,"Long-term debt")</f>
        <v/>
      </c>
      <c r="O25" s="6">
        <f>N25-SUMIFS(TB!R$2:R$2000,TB!$C$2:$C$2000,"Long-term debt")</f>
        <v/>
      </c>
      <c r="P25" s="6">
        <f>O25-SUMIFS(TB!S$2:S$2000,TB!$C$2:$C$2000,"Long-term debt")</f>
        <v/>
      </c>
      <c r="Q25" s="6">
        <f>P25-SUMIFS(TB!T$2:T$2000,TB!$C$2:$C$2000,"Long-term debt")</f>
        <v/>
      </c>
    </row>
    <row r="26">
      <c r="A26" t="inlineStr">
        <is>
          <t>Equity</t>
        </is>
      </c>
      <c r="B26" t="inlineStr">
        <is>
          <t>Equity</t>
        </is>
      </c>
      <c r="C26" s="6">
        <f>-SUMIFS(TB!E$2:E$2000,TB!$C$2:$C$2000,"Equity")-SUMIFS(TB!F$2:F$2000,TB!$C$2:$C$2000,"Equity")</f>
        <v/>
      </c>
      <c r="D26" s="6">
        <f>C26-SUMIFS(TB!G$2:G$2000,TB!$C$2:$C$2000,"Equity")</f>
        <v/>
      </c>
      <c r="E26" s="6">
        <f>D26-SUMIFS(TB!H$2:H$2000,TB!$C$2:$C$2000,"Equity")</f>
        <v/>
      </c>
      <c r="F26" s="6">
        <f>E26-SUMIFS(TB!I$2:I$2000,TB!$C$2:$C$2000,"Equity")</f>
        <v/>
      </c>
      <c r="G26" s="6">
        <f>F26-SUMIFS(TB!J$2:J$2000,TB!$C$2:$C$2000,"Equity")</f>
        <v/>
      </c>
      <c r="H26" s="6">
        <f>G26-SUMIFS(TB!K$2:K$2000,TB!$C$2:$C$2000,"Equity")</f>
        <v/>
      </c>
      <c r="I26" s="6">
        <f>H26-SUMIFS(TB!L$2:L$2000,TB!$C$2:$C$2000,"Equity")</f>
        <v/>
      </c>
      <c r="J26" s="6">
        <f>I26-SUMIFS(TB!M$2:M$2000,TB!$C$2:$C$2000,"Equity")</f>
        <v/>
      </c>
      <c r="K26" s="6">
        <f>J26-SUMIFS(TB!N$2:N$2000,TB!$C$2:$C$2000,"Equity")</f>
        <v/>
      </c>
      <c r="L26" s="6">
        <f>K26-SUMIFS(TB!O$2:O$2000,TB!$C$2:$C$2000,"Equity")</f>
        <v/>
      </c>
      <c r="M26" s="6">
        <f>L26-SUMIFS(TB!P$2:P$2000,TB!$C$2:$C$2000,"Equity")</f>
        <v/>
      </c>
      <c r="N26" s="6">
        <f>M26-SUMIFS(TB!Q$2:Q$2000,TB!$C$2:$C$2000,"Equity")</f>
        <v/>
      </c>
      <c r="O26" s="6">
        <f>N26-SUMIFS(TB!R$2:R$2000,TB!$C$2:$C$2000,"Equity")</f>
        <v/>
      </c>
      <c r="P26" s="6">
        <f>O26-SUMIFS(TB!S$2:S$2000,TB!$C$2:$C$2000,"Equity")</f>
        <v/>
      </c>
      <c r="Q26" s="6">
        <f>P26-SUMIFS(TB!T$2:T$2000,TB!$C$2:$C$2000,"Equity")</f>
        <v/>
      </c>
    </row>
    <row r="27">
      <c r="A27" s="14" t="inlineStr">
        <is>
          <t>Current assets</t>
        </is>
      </c>
      <c r="B27" s="14" t="inlineStr">
        <is>
          <t>Current assets</t>
        </is>
      </c>
      <c r="C27" s="15">
        <f>SUM(C17:C20)</f>
        <v/>
      </c>
      <c r="D27" s="15">
        <f>SUM(D17:D20)</f>
        <v/>
      </c>
      <c r="E27" s="15">
        <f>SUM(E17:E20)</f>
        <v/>
      </c>
      <c r="F27" s="15">
        <f>SUM(F17:F20)</f>
        <v/>
      </c>
      <c r="G27" s="15">
        <f>SUM(G17:G20)</f>
        <v/>
      </c>
      <c r="H27" s="15">
        <f>SUM(H17:H20)</f>
        <v/>
      </c>
      <c r="I27" s="15">
        <f>SUM(I17:I20)</f>
        <v/>
      </c>
      <c r="J27" s="15">
        <f>SUM(J17:J20)</f>
        <v/>
      </c>
      <c r="K27" s="15">
        <f>SUM(K17:K20)</f>
        <v/>
      </c>
      <c r="L27" s="15">
        <f>SUM(L17:L20)</f>
        <v/>
      </c>
      <c r="M27" s="15">
        <f>SUM(M17:M20)</f>
        <v/>
      </c>
      <c r="N27" s="15">
        <f>SUM(N17:N20)</f>
        <v/>
      </c>
      <c r="O27" s="15">
        <f>SUM(O17:O20)</f>
        <v/>
      </c>
      <c r="P27" s="15">
        <f>SUM(P17:P20)</f>
        <v/>
      </c>
      <c r="Q27" s="15">
        <f>SUM(Q17:Q20)</f>
        <v/>
      </c>
    </row>
    <row r="28">
      <c r="A28" s="14" t="inlineStr">
        <is>
          <t>Current liabilities</t>
        </is>
      </c>
      <c r="B28" s="14" t="inlineStr">
        <is>
          <t>Current liabilities</t>
        </is>
      </c>
      <c r="C28" s="15">
        <f>C23+C24</f>
        <v/>
      </c>
      <c r="D28" s="15">
        <f>D23+D24</f>
        <v/>
      </c>
      <c r="E28" s="15">
        <f>E23+E24</f>
        <v/>
      </c>
      <c r="F28" s="15">
        <f>F23+F24</f>
        <v/>
      </c>
      <c r="G28" s="15">
        <f>G23+G24</f>
        <v/>
      </c>
      <c r="H28" s="15">
        <f>H23+H24</f>
        <v/>
      </c>
      <c r="I28" s="15">
        <f>I23+I24</f>
        <v/>
      </c>
      <c r="J28" s="15">
        <f>J23+J24</f>
        <v/>
      </c>
      <c r="K28" s="15">
        <f>K23+K24</f>
        <v/>
      </c>
      <c r="L28" s="15">
        <f>L23+L24</f>
        <v/>
      </c>
      <c r="M28" s="15">
        <f>M23+M24</f>
        <v/>
      </c>
      <c r="N28" s="15">
        <f>N23+N24</f>
        <v/>
      </c>
      <c r="O28" s="15">
        <f>O23+O24</f>
        <v/>
      </c>
      <c r="P28" s="15">
        <f>P23+P24</f>
        <v/>
      </c>
      <c r="Q28" s="15">
        <f>Q23+Q24</f>
        <v/>
      </c>
    </row>
    <row r="29">
      <c r="A29" s="16" t="inlineStr">
        <is>
          <t>Cash flow</t>
        </is>
      </c>
    </row>
    <row r="30">
      <c r="A30" t="inlineStr">
        <is>
          <t>CF: Net income</t>
        </is>
      </c>
      <c r="B30" t="inlineStr">
        <is>
          <t>CF: Net income</t>
        </is>
      </c>
      <c r="C30" s="6">
        <f>C15</f>
        <v/>
      </c>
      <c r="D30" s="6">
        <f>D15</f>
        <v/>
      </c>
      <c r="E30" s="6">
        <f>E15</f>
        <v/>
      </c>
      <c r="F30" s="6">
        <f>F15</f>
        <v/>
      </c>
      <c r="G30" s="6">
        <f>G15</f>
        <v/>
      </c>
      <c r="H30" s="6">
        <f>H15</f>
        <v/>
      </c>
      <c r="I30" s="6">
        <f>I15</f>
        <v/>
      </c>
      <c r="J30" s="6">
        <f>J15</f>
        <v/>
      </c>
      <c r="K30" s="6">
        <f>K15</f>
        <v/>
      </c>
      <c r="L30" s="6">
        <f>L15</f>
        <v/>
      </c>
      <c r="M30" s="6">
        <f>M15</f>
        <v/>
      </c>
      <c r="N30" s="6">
        <f>N15</f>
        <v/>
      </c>
      <c r="O30" s="6">
        <f>O15</f>
        <v/>
      </c>
      <c r="P30" s="6">
        <f>P15</f>
        <v/>
      </c>
      <c r="Q30" s="6">
        <f>Q15</f>
        <v/>
      </c>
    </row>
    <row r="31">
      <c r="A31" t="inlineStr">
        <is>
          <t>CF: Depreciation added back</t>
        </is>
      </c>
      <c r="B31" t="inlineStr">
        <is>
          <t>CF: Depreciation added back</t>
        </is>
      </c>
      <c r="C31" s="6">
        <f>-SUMIFS(TB!F$2:F$2000,TB!$C$2:$C$2000,"Accumulated depreciation")</f>
        <v/>
      </c>
      <c r="D31" s="6">
        <f>-SUMIFS(TB!G$2:G$2000,TB!$C$2:$C$2000,"Accumulated depreciation")</f>
        <v/>
      </c>
      <c r="E31" s="6">
        <f>-SUMIFS(TB!H$2:H$2000,TB!$C$2:$C$2000,"Accumulated depreciation")</f>
        <v/>
      </c>
      <c r="F31" s="6">
        <f>-SUMIFS(TB!I$2:I$2000,TB!$C$2:$C$2000,"Accumulated depreciation")</f>
        <v/>
      </c>
      <c r="G31" s="6">
        <f>-SUMIFS(TB!J$2:J$2000,TB!$C$2:$C$2000,"Accumulated depreciation")</f>
        <v/>
      </c>
      <c r="H31" s="6">
        <f>-SUMIFS(TB!K$2:K$2000,TB!$C$2:$C$2000,"Accumulated depreciation")</f>
        <v/>
      </c>
      <c r="I31" s="6">
        <f>-SUMIFS(TB!L$2:L$2000,TB!$C$2:$C$2000,"Accumulated depreciation")</f>
        <v/>
      </c>
      <c r="J31" s="6">
        <f>-SUMIFS(TB!M$2:M$2000,TB!$C$2:$C$2000,"Accumulated depreciation")</f>
        <v/>
      </c>
      <c r="K31" s="6">
        <f>-SUMIFS(TB!N$2:N$2000,TB!$C$2:$C$2000,"Accumulated depreciation")</f>
        <v/>
      </c>
      <c r="L31" s="6">
        <f>-SUMIFS(TB!O$2:O$2000,TB!$C$2:$C$2000,"Accumulated depreciation")</f>
        <v/>
      </c>
      <c r="M31" s="6">
        <f>-SUMIFS(TB!P$2:P$2000,TB!$C$2:$C$2000,"Accumulated depreciation")</f>
        <v/>
      </c>
      <c r="N31" s="6">
        <f>-SUMIFS(TB!Q$2:Q$2000,TB!$C$2:$C$2000,"Accumulated depreciation")</f>
        <v/>
      </c>
      <c r="O31" s="6">
        <f>-SUMIFS(TB!R$2:R$2000,TB!$C$2:$C$2000,"Accumulated depreciation")</f>
        <v/>
      </c>
      <c r="P31" s="6">
        <f>-SUMIFS(TB!S$2:S$2000,TB!$C$2:$C$2000,"Accumulated depreciation")</f>
        <v/>
      </c>
      <c r="Q31" s="6">
        <f>-SUMIFS(TB!T$2:T$2000,TB!$C$2:$C$2000,"Accumulated depreciation")</f>
        <v/>
      </c>
    </row>
    <row r="32">
      <c r="A32" t="inlineStr">
        <is>
          <t>CF: Change in working capital</t>
        </is>
      </c>
      <c r="B32" t="inlineStr">
        <is>
          <t>CF: Change in working capital</t>
        </is>
      </c>
      <c r="C32" s="6">
        <f>-(SUMIFS(TB!F$2:F$2000,TB!$C$2:$C$2000,"Accounts receivable")+SUMIFS(TB!F$2:F$2000,TB!$C$2:$C$2000,"Inventory")+SUMIFS(TB!F$2:F$2000,TB!$C$2:$C$2000,"Other current assets")+SUMIFS(TB!F$2:F$2000,TB!$C$2:$C$2000,"Accounts payable")+SUMIFS(TB!F$2:F$2000,TB!$C$2:$C$2000,"Other current liabilities"))</f>
        <v/>
      </c>
      <c r="D32" s="6">
        <f>-(SUMIFS(TB!G$2:G$2000,TB!$C$2:$C$2000,"Accounts receivable")+SUMIFS(TB!G$2:G$2000,TB!$C$2:$C$2000,"Inventory")+SUMIFS(TB!G$2:G$2000,TB!$C$2:$C$2000,"Other current assets")+SUMIFS(TB!G$2:G$2000,TB!$C$2:$C$2000,"Accounts payable")+SUMIFS(TB!G$2:G$2000,TB!$C$2:$C$2000,"Other current liabilities"))</f>
        <v/>
      </c>
      <c r="E32" s="6">
        <f>-(SUMIFS(TB!H$2:H$2000,TB!$C$2:$C$2000,"Accounts receivable")+SUMIFS(TB!H$2:H$2000,TB!$C$2:$C$2000,"Inventory")+SUMIFS(TB!H$2:H$2000,TB!$C$2:$C$2000,"Other current assets")+SUMIFS(TB!H$2:H$2000,TB!$C$2:$C$2000,"Accounts payable")+SUMIFS(TB!H$2:H$2000,TB!$C$2:$C$2000,"Other current liabilities"))</f>
        <v/>
      </c>
      <c r="F32" s="6">
        <f>-(SUMIFS(TB!I$2:I$2000,TB!$C$2:$C$2000,"Accounts receivable")+SUMIFS(TB!I$2:I$2000,TB!$C$2:$C$2000,"Inventory")+SUMIFS(TB!I$2:I$2000,TB!$C$2:$C$2000,"Other current assets")+SUMIFS(TB!I$2:I$2000,TB!$C$2:$C$2000,"Accounts payable")+SUMIFS(TB!I$2:I$2000,TB!$C$2:$C$2000,"Other current liabilities"))</f>
        <v/>
      </c>
      <c r="G32" s="6">
        <f>-(SUMIFS(TB!J$2:J$2000,TB!$C$2:$C$2000,"Accounts receivable")+SUMIFS(TB!J$2:J$2000,TB!$C$2:$C$2000,"Inventory")+SUMIFS(TB!J$2:J$2000,TB!$C$2:$C$2000,"Other current assets")+SUMIFS(TB!J$2:J$2000,TB!$C$2:$C$2000,"Accounts payable")+SUMIFS(TB!J$2:J$2000,TB!$C$2:$C$2000,"Other current liabilities"))</f>
        <v/>
      </c>
      <c r="H32" s="6">
        <f>-(SUMIFS(TB!K$2:K$2000,TB!$C$2:$C$2000,"Accounts receivable")+SUMIFS(TB!K$2:K$2000,TB!$C$2:$C$2000,"Inventory")+SUMIFS(TB!K$2:K$2000,TB!$C$2:$C$2000,"Other current assets")+SUMIFS(TB!K$2:K$2000,TB!$C$2:$C$2000,"Accounts payable")+SUMIFS(TB!K$2:K$2000,TB!$C$2:$C$2000,"Other current liabilities"))</f>
        <v/>
      </c>
      <c r="I32" s="6">
        <f>-(SUMIFS(TB!L$2:L$2000,TB!$C$2:$C$2000,"Accounts receivable")+SUMIFS(TB!L$2:L$2000,TB!$C$2:$C$2000,"Inventory")+SUMIFS(TB!L$2:L$2000,TB!$C$2:$C$2000,"Other current assets")+SUMIFS(TB!L$2:L$2000,TB!$C$2:$C$2000,"Accounts payable")+SUMIFS(TB!L$2:L$2000,TB!$C$2:$C$2000,"Other current liabilities"))</f>
        <v/>
      </c>
      <c r="J32" s="6">
        <f>-(SUMIFS(TB!M$2:M$2000,TB!$C$2:$C$2000,"Accounts receivable")+SUMIFS(TB!M$2:M$2000,TB!$C$2:$C$2000,"Inventory")+SUMIFS(TB!M$2:M$2000,TB!$C$2:$C$2000,"Other current assets")+SUMIFS(TB!M$2:M$2000,TB!$C$2:$C$2000,"Accounts payable")+SUMIFS(TB!M$2:M$2000,TB!$C$2:$C$2000,"Other current liabilities"))</f>
        <v/>
      </c>
      <c r="K32" s="6">
        <f>-(SUMIFS(TB!N$2:N$2000,TB!$C$2:$C$2000,"Accounts receivable")+SUMIFS(TB!N$2:N$2000,TB!$C$2:$C$2000,"Inventory")+SUMIFS(TB!N$2:N$2000,TB!$C$2:$C$2000,"Other current assets")+SUMIFS(TB!N$2:N$2000,TB!$C$2:$C$2000,"Accounts payable")+SUMIFS(TB!N$2:N$2000,TB!$C$2:$C$2000,"Other current liabilities"))</f>
        <v/>
      </c>
      <c r="L32" s="6">
        <f>-(SUMIFS(TB!O$2:O$2000,TB!$C$2:$C$2000,"Accounts receivable")+SUMIFS(TB!O$2:O$2000,TB!$C$2:$C$2000,"Inventory")+SUMIFS(TB!O$2:O$2000,TB!$C$2:$C$2000,"Other current assets")+SUMIFS(TB!O$2:O$2000,TB!$C$2:$C$2000,"Accounts payable")+SUMIFS(TB!O$2:O$2000,TB!$C$2:$C$2000,"Other current liabilities"))</f>
        <v/>
      </c>
      <c r="M32" s="6">
        <f>-(SUMIFS(TB!P$2:P$2000,TB!$C$2:$C$2000,"Accounts receivable")+SUMIFS(TB!P$2:P$2000,TB!$C$2:$C$2000,"Inventory")+SUMIFS(TB!P$2:P$2000,TB!$C$2:$C$2000,"Other current assets")+SUMIFS(TB!P$2:P$2000,TB!$C$2:$C$2000,"Accounts payable")+SUMIFS(TB!P$2:P$2000,TB!$C$2:$C$2000,"Other current liabilities"))</f>
        <v/>
      </c>
      <c r="N32" s="6">
        <f>-(SUMIFS(TB!Q$2:Q$2000,TB!$C$2:$C$2000,"Accounts receivable")+SUMIFS(TB!Q$2:Q$2000,TB!$C$2:$C$2000,"Inventory")+SUMIFS(TB!Q$2:Q$2000,TB!$C$2:$C$2000,"Other current assets")+SUMIFS(TB!Q$2:Q$2000,TB!$C$2:$C$2000,"Accounts payable")+SUMIFS(TB!Q$2:Q$2000,TB!$C$2:$C$2000,"Other current liabilities"))</f>
        <v/>
      </c>
      <c r="O32" s="6">
        <f>-(SUMIFS(TB!R$2:R$2000,TB!$C$2:$C$2000,"Accounts receivable")+SUMIFS(TB!R$2:R$2000,TB!$C$2:$C$2000,"Inventory")+SUMIFS(TB!R$2:R$2000,TB!$C$2:$C$2000,"Other current assets")+SUMIFS(TB!R$2:R$2000,TB!$C$2:$C$2000,"Accounts payable")+SUMIFS(TB!R$2:R$2000,TB!$C$2:$C$2000,"Other current liabilities"))</f>
        <v/>
      </c>
      <c r="P32" s="6">
        <f>-(SUMIFS(TB!S$2:S$2000,TB!$C$2:$C$2000,"Accounts receivable")+SUMIFS(TB!S$2:S$2000,TB!$C$2:$C$2000,"Inventory")+SUMIFS(TB!S$2:S$2000,TB!$C$2:$C$2000,"Other current assets")+SUMIFS(TB!S$2:S$2000,TB!$C$2:$C$2000,"Accounts payable")+SUMIFS(TB!S$2:S$2000,TB!$C$2:$C$2000,"Other current liabilities"))</f>
        <v/>
      </c>
      <c r="Q32" s="6">
        <f>-(SUMIFS(TB!T$2:T$2000,TB!$C$2:$C$2000,"Accounts receivable")+SUMIFS(TB!T$2:T$2000,TB!$C$2:$C$2000,"Inventory")+SUMIFS(TB!T$2:T$2000,TB!$C$2:$C$2000,"Other current assets")+SUMIFS(TB!T$2:T$2000,TB!$C$2:$C$2000,"Accounts payable")+SUMIFS(TB!T$2:T$2000,TB!$C$2:$C$2000,"Other current liabilities"))</f>
        <v/>
      </c>
    </row>
    <row r="33">
      <c r="A33" s="14" t="inlineStr">
        <is>
          <t>Operating cash flow</t>
        </is>
      </c>
      <c r="B33" s="14" t="inlineStr">
        <is>
          <t>Operating cash flow</t>
        </is>
      </c>
      <c r="C33" s="15">
        <f>SUM(C30:C32)</f>
        <v/>
      </c>
      <c r="D33" s="15">
        <f>SUM(D30:D32)</f>
        <v/>
      </c>
      <c r="E33" s="15">
        <f>SUM(E30:E32)</f>
        <v/>
      </c>
      <c r="F33" s="15">
        <f>SUM(F30:F32)</f>
        <v/>
      </c>
      <c r="G33" s="15">
        <f>SUM(G30:G32)</f>
        <v/>
      </c>
      <c r="H33" s="15">
        <f>SUM(H30:H32)</f>
        <v/>
      </c>
      <c r="I33" s="15">
        <f>SUM(I30:I32)</f>
        <v/>
      </c>
      <c r="J33" s="15">
        <f>SUM(J30:J32)</f>
        <v/>
      </c>
      <c r="K33" s="15">
        <f>SUM(K30:K32)</f>
        <v/>
      </c>
      <c r="L33" s="15">
        <f>SUM(L30:L32)</f>
        <v/>
      </c>
      <c r="M33" s="15">
        <f>SUM(M30:M32)</f>
        <v/>
      </c>
      <c r="N33" s="15">
        <f>SUM(N30:N32)</f>
        <v/>
      </c>
      <c r="O33" s="15">
        <f>SUM(O30:O32)</f>
        <v/>
      </c>
      <c r="P33" s="15">
        <f>SUM(P30:P32)</f>
        <v/>
      </c>
      <c r="Q33" s="15">
        <f>SUM(Q30:Q32)</f>
        <v/>
      </c>
    </row>
    <row r="34">
      <c r="A34" t="inlineStr">
        <is>
          <t>Capital expenditure</t>
        </is>
      </c>
      <c r="B34" t="inlineStr">
        <is>
          <t>Capital expenditure</t>
        </is>
      </c>
      <c r="C34" s="6">
        <f>SUMIFS(TB!F$2:F$2000,TB!$C$2:$C$2000,"Fixed assets")</f>
        <v/>
      </c>
      <c r="D34" s="6">
        <f>SUMIFS(TB!G$2:G$2000,TB!$C$2:$C$2000,"Fixed assets")</f>
        <v/>
      </c>
      <c r="E34" s="6">
        <f>SUMIFS(TB!H$2:H$2000,TB!$C$2:$C$2000,"Fixed assets")</f>
        <v/>
      </c>
      <c r="F34" s="6">
        <f>SUMIFS(TB!I$2:I$2000,TB!$C$2:$C$2000,"Fixed assets")</f>
        <v/>
      </c>
      <c r="G34" s="6">
        <f>SUMIFS(TB!J$2:J$2000,TB!$C$2:$C$2000,"Fixed assets")</f>
        <v/>
      </c>
      <c r="H34" s="6">
        <f>SUMIFS(TB!K$2:K$2000,TB!$C$2:$C$2000,"Fixed assets")</f>
        <v/>
      </c>
      <c r="I34" s="6">
        <f>SUMIFS(TB!L$2:L$2000,TB!$C$2:$C$2000,"Fixed assets")</f>
        <v/>
      </c>
      <c r="J34" s="6">
        <f>SUMIFS(TB!M$2:M$2000,TB!$C$2:$C$2000,"Fixed assets")</f>
        <v/>
      </c>
      <c r="K34" s="6">
        <f>SUMIFS(TB!N$2:N$2000,TB!$C$2:$C$2000,"Fixed assets")</f>
        <v/>
      </c>
      <c r="L34" s="6">
        <f>SUMIFS(TB!O$2:O$2000,TB!$C$2:$C$2000,"Fixed assets")</f>
        <v/>
      </c>
      <c r="M34" s="6">
        <f>SUMIFS(TB!P$2:P$2000,TB!$C$2:$C$2000,"Fixed assets")</f>
        <v/>
      </c>
      <c r="N34" s="6">
        <f>SUMIFS(TB!Q$2:Q$2000,TB!$C$2:$C$2000,"Fixed assets")</f>
        <v/>
      </c>
      <c r="O34" s="6">
        <f>SUMIFS(TB!R$2:R$2000,TB!$C$2:$C$2000,"Fixed assets")</f>
        <v/>
      </c>
      <c r="P34" s="6">
        <f>SUMIFS(TB!S$2:S$2000,TB!$C$2:$C$2000,"Fixed assets")</f>
        <v/>
      </c>
      <c r="Q34" s="6">
        <f>SUMIFS(TB!T$2:T$2000,TB!$C$2:$C$2000,"Fixed assets")</f>
        <v/>
      </c>
    </row>
    <row r="35">
      <c r="A35" s="14" t="inlineStr">
        <is>
          <t>Free cash flow</t>
        </is>
      </c>
      <c r="B35" s="14" t="inlineStr">
        <is>
          <t>Free cash flow</t>
        </is>
      </c>
      <c r="C35" s="15">
        <f>C33-C34</f>
        <v/>
      </c>
      <c r="D35" s="15">
        <f>D33-D34</f>
        <v/>
      </c>
      <c r="E35" s="15">
        <f>E33-E34</f>
        <v/>
      </c>
      <c r="F35" s="15">
        <f>F33-F34</f>
        <v/>
      </c>
      <c r="G35" s="15">
        <f>G33-G34</f>
        <v/>
      </c>
      <c r="H35" s="15">
        <f>H33-H34</f>
        <v/>
      </c>
      <c r="I35" s="15">
        <f>I33-I34</f>
        <v/>
      </c>
      <c r="J35" s="15">
        <f>J33-J34</f>
        <v/>
      </c>
      <c r="K35" s="15">
        <f>K33-K34</f>
        <v/>
      </c>
      <c r="L35" s="15">
        <f>L33-L34</f>
        <v/>
      </c>
      <c r="M35" s="15">
        <f>M33-M34</f>
        <v/>
      </c>
      <c r="N35" s="15">
        <f>N33-N34</f>
        <v/>
      </c>
      <c r="O35" s="15">
        <f>O33-O34</f>
        <v/>
      </c>
      <c r="P35" s="15">
        <f>P33-P34</f>
        <v/>
      </c>
      <c r="Q35" s="15">
        <f>Q33-Q34</f>
        <v/>
      </c>
    </row>
    <row r="36">
      <c r="A36" t="inlineStr">
        <is>
          <t>Financing cash flow</t>
        </is>
      </c>
      <c r="B36" t="inlineStr">
        <is>
          <t>Financing cash flow</t>
        </is>
      </c>
      <c r="C36" s="6">
        <f>-(SUMIFS(TB!F$2:F$2000,TB!$C$2:$C$2000,"Long-term debt")+SUMIFS(TB!F$2:F$2000,TB!$C$2:$C$2000,"Equity"))</f>
        <v/>
      </c>
      <c r="D36" s="6">
        <f>-(SUMIFS(TB!G$2:G$2000,TB!$C$2:$C$2000,"Long-term debt")+SUMIFS(TB!G$2:G$2000,TB!$C$2:$C$2000,"Equity"))</f>
        <v/>
      </c>
      <c r="E36" s="6">
        <f>-(SUMIFS(TB!H$2:H$2000,TB!$C$2:$C$2000,"Long-term debt")+SUMIFS(TB!H$2:H$2000,TB!$C$2:$C$2000,"Equity"))</f>
        <v/>
      </c>
      <c r="F36" s="6">
        <f>-(SUMIFS(TB!I$2:I$2000,TB!$C$2:$C$2000,"Long-term debt")+SUMIFS(TB!I$2:I$2000,TB!$C$2:$C$2000,"Equity"))</f>
        <v/>
      </c>
      <c r="G36" s="6">
        <f>-(SUMIFS(TB!J$2:J$2000,TB!$C$2:$C$2000,"Long-term debt")+SUMIFS(TB!J$2:J$2000,TB!$C$2:$C$2000,"Equity"))</f>
        <v/>
      </c>
      <c r="H36" s="6">
        <f>-(SUMIFS(TB!K$2:K$2000,TB!$C$2:$C$2000,"Long-term debt")+SUMIFS(TB!K$2:K$2000,TB!$C$2:$C$2000,"Equity"))</f>
        <v/>
      </c>
      <c r="I36" s="6">
        <f>-(SUMIFS(TB!L$2:L$2000,TB!$C$2:$C$2000,"Long-term debt")+SUMIFS(TB!L$2:L$2000,TB!$C$2:$C$2000,"Equity"))</f>
        <v/>
      </c>
      <c r="J36" s="6">
        <f>-(SUMIFS(TB!M$2:M$2000,TB!$C$2:$C$2000,"Long-term debt")+SUMIFS(TB!M$2:M$2000,TB!$C$2:$C$2000,"Equity"))</f>
        <v/>
      </c>
      <c r="K36" s="6">
        <f>-(SUMIFS(TB!N$2:N$2000,TB!$C$2:$C$2000,"Long-term debt")+SUMIFS(TB!N$2:N$2000,TB!$C$2:$C$2000,"Equity"))</f>
        <v/>
      </c>
      <c r="L36" s="6">
        <f>-(SUMIFS(TB!O$2:O$2000,TB!$C$2:$C$2000,"Long-term debt")+SUMIFS(TB!O$2:O$2000,TB!$C$2:$C$2000,"Equity"))</f>
        <v/>
      </c>
      <c r="M36" s="6">
        <f>-(SUMIFS(TB!P$2:P$2000,TB!$C$2:$C$2000,"Long-term debt")+SUMIFS(TB!P$2:P$2000,TB!$C$2:$C$2000,"Equity"))</f>
        <v/>
      </c>
      <c r="N36" s="6">
        <f>-(SUMIFS(TB!Q$2:Q$2000,TB!$C$2:$C$2000,"Long-term debt")+SUMIFS(TB!Q$2:Q$2000,TB!$C$2:$C$2000,"Equity"))</f>
        <v/>
      </c>
      <c r="O36" s="6">
        <f>-(SUMIFS(TB!R$2:R$2000,TB!$C$2:$C$2000,"Long-term debt")+SUMIFS(TB!R$2:R$2000,TB!$C$2:$C$2000,"Equity"))</f>
        <v/>
      </c>
      <c r="P36" s="6">
        <f>-(SUMIFS(TB!S$2:S$2000,TB!$C$2:$C$2000,"Long-term debt")+SUMIFS(TB!S$2:S$2000,TB!$C$2:$C$2000,"Equity"))</f>
        <v/>
      </c>
      <c r="Q36" s="6">
        <f>-(SUMIFS(TB!T$2:T$2000,TB!$C$2:$C$2000,"Long-term debt")+SUMIFS(TB!T$2:T$2000,TB!$C$2:$C$2000,"Equity"))</f>
        <v/>
      </c>
    </row>
    <row r="37">
      <c r="A37" s="14" t="inlineStr">
        <is>
          <t>Net change in cash</t>
        </is>
      </c>
      <c r="B37" s="14" t="inlineStr">
        <is>
          <t>Net change in cash</t>
        </is>
      </c>
      <c r="C37" s="15">
        <f>C35+C36</f>
        <v/>
      </c>
      <c r="D37" s="15">
        <f>D35+D36</f>
        <v/>
      </c>
      <c r="E37" s="15">
        <f>E35+E36</f>
        <v/>
      </c>
      <c r="F37" s="15">
        <f>F35+F36</f>
        <v/>
      </c>
      <c r="G37" s="15">
        <f>G35+G36</f>
        <v/>
      </c>
      <c r="H37" s="15">
        <f>H35+H36</f>
        <v/>
      </c>
      <c r="I37" s="15">
        <f>I35+I36</f>
        <v/>
      </c>
      <c r="J37" s="15">
        <f>J35+J36</f>
        <v/>
      </c>
      <c r="K37" s="15">
        <f>K35+K36</f>
        <v/>
      </c>
      <c r="L37" s="15">
        <f>L35+L36</f>
        <v/>
      </c>
      <c r="M37" s="15">
        <f>M35+M36</f>
        <v/>
      </c>
      <c r="N37" s="15">
        <f>N35+N36</f>
        <v/>
      </c>
      <c r="O37" s="15">
        <f>O35+O36</f>
        <v/>
      </c>
      <c r="P37" s="15">
        <f>P35+P36</f>
        <v/>
      </c>
      <c r="Q37" s="15">
        <f>Q35+Q36</f>
        <v/>
      </c>
    </row>
    <row r="38">
      <c r="A38" t="inlineStr">
        <is>
          <t>Opening cash</t>
        </is>
      </c>
      <c r="B38" t="inlineStr">
        <is>
          <t>Opening cash</t>
        </is>
      </c>
      <c r="C38" s="6">
        <f>SUMIFS(TB!E$2:E$2000,TB!$C$2:$C$2000,"Cash")</f>
        <v/>
      </c>
      <c r="D38" s="6">
        <f>C17</f>
        <v/>
      </c>
      <c r="E38" s="6">
        <f>D17</f>
        <v/>
      </c>
      <c r="F38" s="6">
        <f>E17</f>
        <v/>
      </c>
      <c r="G38" s="6">
        <f>F17</f>
        <v/>
      </c>
      <c r="H38" s="6">
        <f>G17</f>
        <v/>
      </c>
      <c r="I38" s="6">
        <f>H17</f>
        <v/>
      </c>
      <c r="J38" s="6">
        <f>I17</f>
        <v/>
      </c>
      <c r="K38" s="6">
        <f>J17</f>
        <v/>
      </c>
      <c r="L38" s="6">
        <f>K17</f>
        <v/>
      </c>
      <c r="M38" s="6">
        <f>L17</f>
        <v/>
      </c>
      <c r="N38" s="6">
        <f>M17</f>
        <v/>
      </c>
      <c r="O38" s="6">
        <f>N17</f>
        <v/>
      </c>
      <c r="P38" s="6">
        <f>O17</f>
        <v/>
      </c>
      <c r="Q38" s="6">
        <f>P17</f>
        <v/>
      </c>
    </row>
    <row r="39">
      <c r="A39" t="inlineStr">
        <is>
          <t>Closing cash from cash flow</t>
        </is>
      </c>
      <c r="B39" t="inlineStr">
        <is>
          <t>Closing cash from cash flow</t>
        </is>
      </c>
      <c r="C39" s="6">
        <f>C38+C37</f>
        <v/>
      </c>
      <c r="D39" s="6">
        <f>D38+D37</f>
        <v/>
      </c>
      <c r="E39" s="6">
        <f>E38+E37</f>
        <v/>
      </c>
      <c r="F39" s="6">
        <f>F38+F37</f>
        <v/>
      </c>
      <c r="G39" s="6">
        <f>G38+G37</f>
        <v/>
      </c>
      <c r="H39" s="6">
        <f>H38+H37</f>
        <v/>
      </c>
      <c r="I39" s="6">
        <f>I38+I37</f>
        <v/>
      </c>
      <c r="J39" s="6">
        <f>J38+J37</f>
        <v/>
      </c>
      <c r="K39" s="6">
        <f>K38+K37</f>
        <v/>
      </c>
      <c r="L39" s="6">
        <f>L38+L37</f>
        <v/>
      </c>
      <c r="M39" s="6">
        <f>M38+M37</f>
        <v/>
      </c>
      <c r="N39" s="6">
        <f>N38+N37</f>
        <v/>
      </c>
      <c r="O39" s="6">
        <f>O38+O37</f>
        <v/>
      </c>
      <c r="P39" s="6">
        <f>P38+P37</f>
        <v/>
      </c>
      <c r="Q39" s="6">
        <f>Q38+Q37</f>
        <v/>
      </c>
    </row>
    <row r="40">
      <c r="A40" s="16" t="inlineStr">
        <is>
          <t>Ratios</t>
        </is>
      </c>
    </row>
    <row r="41">
      <c r="A41" t="inlineStr">
        <is>
          <t>Revenue, last 3 months</t>
        </is>
      </c>
      <c r="B41" t="inlineStr">
        <is>
          <t>Revenue, last 3 months</t>
        </is>
      </c>
      <c r="C41" s="6">
        <f>""</f>
        <v/>
      </c>
      <c r="D41" s="6">
        <f>""</f>
        <v/>
      </c>
      <c r="E41" s="6">
        <f>SUM(C5:E5)</f>
        <v/>
      </c>
      <c r="F41" s="6">
        <f>SUM(D5:F5)</f>
        <v/>
      </c>
      <c r="G41" s="6">
        <f>SUM(E5:G5)</f>
        <v/>
      </c>
      <c r="H41" s="6">
        <f>SUM(F5:H5)</f>
        <v/>
      </c>
      <c r="I41" s="6">
        <f>SUM(G5:I5)</f>
        <v/>
      </c>
      <c r="J41" s="6">
        <f>SUM(H5:J5)</f>
        <v/>
      </c>
      <c r="K41" s="6">
        <f>SUM(I5:K5)</f>
        <v/>
      </c>
      <c r="L41" s="6">
        <f>SUM(J5:L5)</f>
        <v/>
      </c>
      <c r="M41" s="6">
        <f>SUM(K5:M5)</f>
        <v/>
      </c>
      <c r="N41" s="6">
        <f>SUM(L5:N5)</f>
        <v/>
      </c>
      <c r="O41" s="6">
        <f>SUM(M5:O5)</f>
        <v/>
      </c>
      <c r="P41" s="6">
        <f>SUM(N5:P5)</f>
        <v/>
      </c>
      <c r="Q41" s="6">
        <f>SUM(O5:Q5)</f>
        <v/>
      </c>
    </row>
    <row r="42">
      <c r="A42" t="inlineStr">
        <is>
          <t>Cost of sales, last 3 months</t>
        </is>
      </c>
      <c r="B42" t="inlineStr">
        <is>
          <t>Cost of sales, last 3 months</t>
        </is>
      </c>
      <c r="C42" s="6">
        <f>""</f>
        <v/>
      </c>
      <c r="D42" s="6">
        <f>""</f>
        <v/>
      </c>
      <c r="E42" s="6">
        <f>SUM(C6:E6)</f>
        <v/>
      </c>
      <c r="F42" s="6">
        <f>SUM(D6:F6)</f>
        <v/>
      </c>
      <c r="G42" s="6">
        <f>SUM(E6:G6)</f>
        <v/>
      </c>
      <c r="H42" s="6">
        <f>SUM(F6:H6)</f>
        <v/>
      </c>
      <c r="I42" s="6">
        <f>SUM(G6:I6)</f>
        <v/>
      </c>
      <c r="J42" s="6">
        <f>SUM(H6:J6)</f>
        <v/>
      </c>
      <c r="K42" s="6">
        <f>SUM(I6:K6)</f>
        <v/>
      </c>
      <c r="L42" s="6">
        <f>SUM(J6:L6)</f>
        <v/>
      </c>
      <c r="M42" s="6">
        <f>SUM(K6:M6)</f>
        <v/>
      </c>
      <c r="N42" s="6">
        <f>SUM(L6:N6)</f>
        <v/>
      </c>
      <c r="O42" s="6">
        <f>SUM(M6:O6)</f>
        <v/>
      </c>
      <c r="P42" s="6">
        <f>SUM(N6:P6)</f>
        <v/>
      </c>
      <c r="Q42" s="6">
        <f>SUM(O6:Q6)</f>
        <v/>
      </c>
    </row>
    <row r="43">
      <c r="A43" t="inlineStr">
        <is>
          <t>DSO (days)</t>
        </is>
      </c>
      <c r="B43" t="inlineStr">
        <is>
          <t>DSO (days)</t>
        </is>
      </c>
      <c r="C43" s="8">
        <f>""</f>
        <v/>
      </c>
      <c r="D43" s="8">
        <f>""</f>
        <v/>
      </c>
      <c r="E43" s="8">
        <f>IFERROR(E18/E41*90,"")</f>
        <v/>
      </c>
      <c r="F43" s="8">
        <f>IFERROR(F18/F41*90,"")</f>
        <v/>
      </c>
      <c r="G43" s="8">
        <f>IFERROR(G18/G41*90,"")</f>
        <v/>
      </c>
      <c r="H43" s="8">
        <f>IFERROR(H18/H41*90,"")</f>
        <v/>
      </c>
      <c r="I43" s="8">
        <f>IFERROR(I18/I41*90,"")</f>
        <v/>
      </c>
      <c r="J43" s="8">
        <f>IFERROR(J18/J41*90,"")</f>
        <v/>
      </c>
      <c r="K43" s="8">
        <f>IFERROR(K18/K41*90,"")</f>
        <v/>
      </c>
      <c r="L43" s="8">
        <f>IFERROR(L18/L41*90,"")</f>
        <v/>
      </c>
      <c r="M43" s="8">
        <f>IFERROR(M18/M41*90,"")</f>
        <v/>
      </c>
      <c r="N43" s="8">
        <f>IFERROR(N18/N41*90,"")</f>
        <v/>
      </c>
      <c r="O43" s="8">
        <f>IFERROR(O18/O41*90,"")</f>
        <v/>
      </c>
      <c r="P43" s="8">
        <f>IFERROR(P18/P41*90,"")</f>
        <v/>
      </c>
      <c r="Q43" s="8">
        <f>IFERROR(Q18/Q41*90,"")</f>
        <v/>
      </c>
    </row>
    <row r="44">
      <c r="A44" t="inlineStr">
        <is>
          <t>DPO (days)</t>
        </is>
      </c>
      <c r="B44" t="inlineStr">
        <is>
          <t>DPO (days)</t>
        </is>
      </c>
      <c r="C44" s="8">
        <f>""</f>
        <v/>
      </c>
      <c r="D44" s="8">
        <f>""</f>
        <v/>
      </c>
      <c r="E44" s="8">
        <f>IFERROR(E23/E42*90,"")</f>
        <v/>
      </c>
      <c r="F44" s="8">
        <f>IFERROR(F23/F42*90,"")</f>
        <v/>
      </c>
      <c r="G44" s="8">
        <f>IFERROR(G23/G42*90,"")</f>
        <v/>
      </c>
      <c r="H44" s="8">
        <f>IFERROR(H23/H42*90,"")</f>
        <v/>
      </c>
      <c r="I44" s="8">
        <f>IFERROR(I23/I42*90,"")</f>
        <v/>
      </c>
      <c r="J44" s="8">
        <f>IFERROR(J23/J42*90,"")</f>
        <v/>
      </c>
      <c r="K44" s="8">
        <f>IFERROR(K23/K42*90,"")</f>
        <v/>
      </c>
      <c r="L44" s="8">
        <f>IFERROR(L23/L42*90,"")</f>
        <v/>
      </c>
      <c r="M44" s="8">
        <f>IFERROR(M23/M42*90,"")</f>
        <v/>
      </c>
      <c r="N44" s="8">
        <f>IFERROR(N23/N42*90,"")</f>
        <v/>
      </c>
      <c r="O44" s="8">
        <f>IFERROR(O23/O42*90,"")</f>
        <v/>
      </c>
      <c r="P44" s="8">
        <f>IFERROR(P23/P42*90,"")</f>
        <v/>
      </c>
      <c r="Q44" s="8">
        <f>IFERROR(Q23/Q42*90,"")</f>
        <v/>
      </c>
    </row>
    <row r="45">
      <c r="A45" t="inlineStr">
        <is>
          <t>Current ratio</t>
        </is>
      </c>
      <c r="B45" t="inlineStr">
        <is>
          <t>Current ratio</t>
        </is>
      </c>
      <c r="C45" s="9">
        <f>IFERROR(C27/C28,"")</f>
        <v/>
      </c>
      <c r="D45" s="9">
        <f>IFERROR(D27/D28,"")</f>
        <v/>
      </c>
      <c r="E45" s="9">
        <f>IFERROR(E27/E28,"")</f>
        <v/>
      </c>
      <c r="F45" s="9">
        <f>IFERROR(F27/F28,"")</f>
        <v/>
      </c>
      <c r="G45" s="9">
        <f>IFERROR(G27/G28,"")</f>
        <v/>
      </c>
      <c r="H45" s="9">
        <f>IFERROR(H27/H28,"")</f>
        <v/>
      </c>
      <c r="I45" s="9">
        <f>IFERROR(I27/I28,"")</f>
        <v/>
      </c>
      <c r="J45" s="9">
        <f>IFERROR(J27/J28,"")</f>
        <v/>
      </c>
      <c r="K45" s="9">
        <f>IFERROR(K27/K28,"")</f>
        <v/>
      </c>
      <c r="L45" s="9">
        <f>IFERROR(L27/L28,"")</f>
        <v/>
      </c>
      <c r="M45" s="9">
        <f>IFERROR(M27/M28,"")</f>
        <v/>
      </c>
      <c r="N45" s="9">
        <f>IFERROR(N27/N28,"")</f>
        <v/>
      </c>
      <c r="O45" s="9">
        <f>IFERROR(O27/O28,"")</f>
        <v/>
      </c>
      <c r="P45" s="9">
        <f>IFERROR(P27/P28,"")</f>
        <v/>
      </c>
      <c r="Q45" s="9">
        <f>IFERROR(Q27/Q28,"")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18"/>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4" customWidth="1" min="1" max="1"/>
    <col width="7" customWidth="1" min="2" max="2"/>
    <col width="10"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s>
  <sheetData>
    <row r="1">
      <c r="A1" s="1" t="inlineStr">
        <is>
          <t>Budget</t>
        </is>
      </c>
    </row>
    <row r="2">
      <c r="A2" s="3" t="inlineStr">
        <is>
          <t>USD by month. Type the yellow cells; gross profit, margins and free cash flow compute. Good and Watch tolerance drive the dashboard status.</t>
        </is>
      </c>
    </row>
    <row r="4">
      <c r="A4" s="5" t="inlineStr">
        <is>
          <t>Line</t>
        </is>
      </c>
      <c r="B4" s="5" t="inlineStr">
        <is>
          <t>Good</t>
        </is>
      </c>
      <c r="C4" s="5" t="inlineStr">
        <is>
          <t>Watch tolerance</t>
        </is>
      </c>
      <c r="D4" s="12" t="inlineStr">
        <is>
          <t>2026-01</t>
        </is>
      </c>
      <c r="E4" s="12" t="inlineStr">
        <is>
          <t>2026-02</t>
        </is>
      </c>
      <c r="F4" s="12" t="inlineStr">
        <is>
          <t>2026-03</t>
        </is>
      </c>
      <c r="G4" s="12" t="inlineStr">
        <is>
          <t>2026-04</t>
        </is>
      </c>
      <c r="H4" s="12" t="inlineStr">
        <is>
          <t>2026-05</t>
        </is>
      </c>
      <c r="I4" s="12" t="inlineStr">
        <is>
          <t>2026-06</t>
        </is>
      </c>
      <c r="J4" s="12" t="inlineStr">
        <is>
          <t>2026-07</t>
        </is>
      </c>
      <c r="K4" s="12" t="inlineStr">
        <is>
          <t>2026-08</t>
        </is>
      </c>
      <c r="L4" s="12" t="inlineStr">
        <is>
          <t>2026-09</t>
        </is>
      </c>
      <c r="M4" s="12" t="inlineStr">
        <is>
          <t>2026-10</t>
        </is>
      </c>
      <c r="N4" s="12" t="inlineStr">
        <is>
          <t>2026-11</t>
        </is>
      </c>
      <c r="O4" s="12" t="inlineStr">
        <is>
          <t>2026-12</t>
        </is>
      </c>
    </row>
    <row r="5">
      <c r="A5" t="inlineStr">
        <is>
          <t>Revenue</t>
        </is>
      </c>
      <c r="B5" s="11" t="inlineStr">
        <is>
          <t>up</t>
        </is>
      </c>
      <c r="C5" s="17" t="n">
        <v>0.05</v>
      </c>
      <c r="D5" s="13" t="n">
        <v>4250000</v>
      </c>
      <c r="E5" s="13" t="n">
        <v>4350000</v>
      </c>
      <c r="F5" s="13" t="n">
        <v>4500000</v>
      </c>
      <c r="G5" s="13" t="n">
        <v>4600000</v>
      </c>
      <c r="H5" s="13" t="n">
        <v>4650000</v>
      </c>
      <c r="I5" s="13" t="n">
        <v>4700000</v>
      </c>
      <c r="J5" s="13" t="n"/>
      <c r="K5" s="13" t="n"/>
      <c r="L5" s="13" t="n"/>
      <c r="M5" s="13" t="n"/>
      <c r="N5" s="13" t="n"/>
      <c r="O5" s="13" t="n"/>
    </row>
    <row r="6">
      <c r="A6" t="inlineStr">
        <is>
          <t>Cost of sales</t>
        </is>
      </c>
      <c r="B6" s="11" t="inlineStr">
        <is>
          <t>down</t>
        </is>
      </c>
      <c r="C6" s="17" t="n">
        <v>0.05</v>
      </c>
      <c r="D6" s="13" t="n">
        <v>2550000</v>
      </c>
      <c r="E6" s="13" t="n">
        <v>2610000</v>
      </c>
      <c r="F6" s="13" t="n">
        <v>2700000</v>
      </c>
      <c r="G6" s="13" t="n">
        <v>2760000</v>
      </c>
      <c r="H6" s="13" t="n">
        <v>2790000</v>
      </c>
      <c r="I6" s="13" t="n">
        <v>2820000</v>
      </c>
      <c r="J6" s="13" t="n"/>
      <c r="K6" s="13" t="n"/>
      <c r="L6" s="13" t="n"/>
      <c r="M6" s="13" t="n"/>
      <c r="N6" s="13" t="n"/>
      <c r="O6" s="13" t="n"/>
    </row>
    <row r="7">
      <c r="A7" s="14" t="inlineStr">
        <is>
          <t>Gross profit</t>
        </is>
      </c>
      <c r="B7" s="18" t="inlineStr">
        <is>
          <t>up</t>
        </is>
      </c>
      <c r="C7" s="19" t="n">
        <v>0.05</v>
      </c>
      <c r="D7" s="15">
        <f>D5-D6</f>
        <v/>
      </c>
      <c r="E7" s="15">
        <f>E5-E6</f>
        <v/>
      </c>
      <c r="F7" s="15">
        <f>F5-F6</f>
        <v/>
      </c>
      <c r="G7" s="15">
        <f>G5-G6</f>
        <v/>
      </c>
      <c r="H7" s="15">
        <f>H5-H6</f>
        <v/>
      </c>
      <c r="I7" s="15">
        <f>I5-I6</f>
        <v/>
      </c>
      <c r="J7" s="15">
        <f>J5-J6</f>
        <v/>
      </c>
      <c r="K7" s="15">
        <f>K5-K6</f>
        <v/>
      </c>
      <c r="L7" s="15">
        <f>L5-L6</f>
        <v/>
      </c>
      <c r="M7" s="15">
        <f>M5-M6</f>
        <v/>
      </c>
      <c r="N7" s="15">
        <f>N5-N6</f>
        <v/>
      </c>
      <c r="O7" s="15">
        <f>O5-O6</f>
        <v/>
      </c>
    </row>
    <row r="8">
      <c r="A8" s="14" t="inlineStr">
        <is>
          <t>Gross margin</t>
        </is>
      </c>
      <c r="B8" s="18" t="inlineStr">
        <is>
          <t>up</t>
        </is>
      </c>
      <c r="C8" s="19" t="n">
        <v>0.05</v>
      </c>
      <c r="D8" s="20">
        <f>IFERROR(D7/D5,"")</f>
        <v/>
      </c>
      <c r="E8" s="20">
        <f>IFERROR(E7/E5,"")</f>
        <v/>
      </c>
      <c r="F8" s="20">
        <f>IFERROR(F7/F5,"")</f>
        <v/>
      </c>
      <c r="G8" s="20">
        <f>IFERROR(G7/G5,"")</f>
        <v/>
      </c>
      <c r="H8" s="20">
        <f>IFERROR(H7/H5,"")</f>
        <v/>
      </c>
      <c r="I8" s="20">
        <f>IFERROR(I7/I5,"")</f>
        <v/>
      </c>
      <c r="J8" s="20">
        <f>IFERROR(J7/J5,"")</f>
        <v/>
      </c>
      <c r="K8" s="20">
        <f>IFERROR(K7/K5,"")</f>
        <v/>
      </c>
      <c r="L8" s="20">
        <f>IFERROR(L7/L5,"")</f>
        <v/>
      </c>
      <c r="M8" s="20">
        <f>IFERROR(M7/M5,"")</f>
        <v/>
      </c>
      <c r="N8" s="20">
        <f>IFERROR(N7/N5,"")</f>
        <v/>
      </c>
      <c r="O8" s="20">
        <f>IFERROR(O7/O5,"")</f>
        <v/>
      </c>
    </row>
    <row r="9">
      <c r="A9" t="inlineStr">
        <is>
          <t>Operating expenses</t>
        </is>
      </c>
      <c r="B9" s="11" t="inlineStr">
        <is>
          <t>down</t>
        </is>
      </c>
      <c r="C9" s="17" t="n">
        <v>0.05</v>
      </c>
      <c r="D9" s="13" t="n">
        <v>1120000</v>
      </c>
      <c r="E9" s="13" t="n">
        <v>1130000</v>
      </c>
      <c r="F9" s="13" t="n">
        <v>1150000</v>
      </c>
      <c r="G9" s="13" t="n">
        <v>1160000</v>
      </c>
      <c r="H9" s="13" t="n">
        <v>1170000</v>
      </c>
      <c r="I9" s="13" t="n">
        <v>1180000</v>
      </c>
      <c r="J9" s="13" t="n"/>
      <c r="K9" s="13" t="n"/>
      <c r="L9" s="13" t="n"/>
      <c r="M9" s="13" t="n"/>
      <c r="N9" s="13" t="n"/>
      <c r="O9" s="13" t="n"/>
    </row>
    <row r="10">
      <c r="A10" s="14" t="inlineStr">
        <is>
          <t>EBITDA</t>
        </is>
      </c>
      <c r="B10" s="18" t="inlineStr">
        <is>
          <t>up</t>
        </is>
      </c>
      <c r="C10" s="19" t="n">
        <v>0.05</v>
      </c>
      <c r="D10" s="15">
        <f>D7-D9</f>
        <v/>
      </c>
      <c r="E10" s="15">
        <f>E7-E9</f>
        <v/>
      </c>
      <c r="F10" s="15">
        <f>F7-F9</f>
        <v/>
      </c>
      <c r="G10" s="15">
        <f>G7-G9</f>
        <v/>
      </c>
      <c r="H10" s="15">
        <f>H7-H9</f>
        <v/>
      </c>
      <c r="I10" s="15">
        <f>I7-I9</f>
        <v/>
      </c>
      <c r="J10" s="15">
        <f>J7-J9</f>
        <v/>
      </c>
      <c r="K10" s="15">
        <f>K7-K9</f>
        <v/>
      </c>
      <c r="L10" s="15">
        <f>L7-L9</f>
        <v/>
      </c>
      <c r="M10" s="15">
        <f>M7-M9</f>
        <v/>
      </c>
      <c r="N10" s="15">
        <f>N7-N9</f>
        <v/>
      </c>
      <c r="O10" s="15">
        <f>O7-O9</f>
        <v/>
      </c>
    </row>
    <row r="11">
      <c r="A11" s="14" t="inlineStr">
        <is>
          <t>EBITDA margin</t>
        </is>
      </c>
      <c r="B11" s="18" t="inlineStr">
        <is>
          <t>up</t>
        </is>
      </c>
      <c r="C11" s="19" t="n">
        <v>0.05</v>
      </c>
      <c r="D11" s="20">
        <f>IFERROR(D10/D5,"")</f>
        <v/>
      </c>
      <c r="E11" s="20">
        <f>IFERROR(E10/E5,"")</f>
        <v/>
      </c>
      <c r="F11" s="20">
        <f>IFERROR(F10/F5,"")</f>
        <v/>
      </c>
      <c r="G11" s="20">
        <f>IFERROR(G10/G5,"")</f>
        <v/>
      </c>
      <c r="H11" s="20">
        <f>IFERROR(H10/H5,"")</f>
        <v/>
      </c>
      <c r="I11" s="20">
        <f>IFERROR(I10/I5,"")</f>
        <v/>
      </c>
      <c r="J11" s="20">
        <f>IFERROR(J10/J5,"")</f>
        <v/>
      </c>
      <c r="K11" s="20">
        <f>IFERROR(K10/K5,"")</f>
        <v/>
      </c>
      <c r="L11" s="20">
        <f>IFERROR(L10/L5,"")</f>
        <v/>
      </c>
      <c r="M11" s="20">
        <f>IFERROR(M10/M5,"")</f>
        <v/>
      </c>
      <c r="N11" s="20">
        <f>IFERROR(N10/N5,"")</f>
        <v/>
      </c>
      <c r="O11" s="20">
        <f>IFERROR(O10/O5,"")</f>
        <v/>
      </c>
    </row>
    <row r="12">
      <c r="A12" t="inlineStr">
        <is>
          <t>Operating cash flow</t>
        </is>
      </c>
      <c r="B12" s="11" t="inlineStr">
        <is>
          <t>up</t>
        </is>
      </c>
      <c r="C12" s="17" t="n">
        <v>0.05</v>
      </c>
      <c r="D12" s="13" t="n">
        <v>480000</v>
      </c>
      <c r="E12" s="13" t="n">
        <v>500000</v>
      </c>
      <c r="F12" s="13" t="n">
        <v>520000</v>
      </c>
      <c r="G12" s="13" t="n">
        <v>560000</v>
      </c>
      <c r="H12" s="13" t="n">
        <v>580000</v>
      </c>
      <c r="I12" s="13" t="n">
        <v>600000</v>
      </c>
      <c r="J12" s="13" t="n"/>
      <c r="K12" s="13" t="n"/>
      <c r="L12" s="13" t="n"/>
      <c r="M12" s="13" t="n"/>
      <c r="N12" s="13" t="n"/>
      <c r="O12" s="13" t="n"/>
    </row>
    <row r="13">
      <c r="A13" t="inlineStr">
        <is>
          <t>Capital expenditure</t>
        </is>
      </c>
      <c r="B13" s="11" t="inlineStr">
        <is>
          <t>down</t>
        </is>
      </c>
      <c r="C13" s="17" t="n">
        <v>0.05</v>
      </c>
      <c r="D13" s="13" t="n">
        <v>110000</v>
      </c>
      <c r="E13" s="13" t="n">
        <v>110000</v>
      </c>
      <c r="F13" s="13" t="n">
        <v>110000</v>
      </c>
      <c r="G13" s="13" t="n">
        <v>110000</v>
      </c>
      <c r="H13" s="13" t="n">
        <v>110000</v>
      </c>
      <c r="I13" s="13" t="n">
        <v>120000</v>
      </c>
      <c r="J13" s="13" t="n"/>
      <c r="K13" s="13" t="n"/>
      <c r="L13" s="13" t="n"/>
      <c r="M13" s="13" t="n"/>
      <c r="N13" s="13" t="n"/>
      <c r="O13" s="13" t="n"/>
    </row>
    <row r="14">
      <c r="A14" s="14" t="inlineStr">
        <is>
          <t>Free cash flow</t>
        </is>
      </c>
      <c r="B14" s="18" t="inlineStr">
        <is>
          <t>up</t>
        </is>
      </c>
      <c r="C14" s="19" t="n">
        <v>0.05</v>
      </c>
      <c r="D14" s="15">
        <f>D12-D13</f>
        <v/>
      </c>
      <c r="E14" s="15">
        <f>E12-E13</f>
        <v/>
      </c>
      <c r="F14" s="15">
        <f>F12-F13</f>
        <v/>
      </c>
      <c r="G14" s="15">
        <f>G12-G13</f>
        <v/>
      </c>
      <c r="H14" s="15">
        <f>H12-H13</f>
        <v/>
      </c>
      <c r="I14" s="15">
        <f>I12-I13</f>
        <v/>
      </c>
      <c r="J14" s="15">
        <f>J12-J13</f>
        <v/>
      </c>
      <c r="K14" s="15">
        <f>K12-K13</f>
        <v/>
      </c>
      <c r="L14" s="15">
        <f>L12-L13</f>
        <v/>
      </c>
      <c r="M14" s="15">
        <f>M12-M13</f>
        <v/>
      </c>
      <c r="N14" s="15">
        <f>N12-N13</f>
        <v/>
      </c>
      <c r="O14" s="15">
        <f>O12-O13</f>
        <v/>
      </c>
    </row>
    <row r="15">
      <c r="A15" t="inlineStr">
        <is>
          <t>Closing cash</t>
        </is>
      </c>
      <c r="B15" s="11" t="inlineStr">
        <is>
          <t>up</t>
        </is>
      </c>
      <c r="C15" s="17" t="n">
        <v>0.05</v>
      </c>
      <c r="D15" s="13" t="n">
        <v>2500000</v>
      </c>
      <c r="E15" s="13" t="n">
        <v>2600000</v>
      </c>
      <c r="F15" s="13" t="n">
        <v>2700000</v>
      </c>
      <c r="G15" s="13" t="n">
        <v>2800000</v>
      </c>
      <c r="H15" s="13" t="n">
        <v>2900000</v>
      </c>
      <c r="I15" s="13" t="n">
        <v>3000000</v>
      </c>
      <c r="J15" s="13" t="n"/>
      <c r="K15" s="13" t="n"/>
      <c r="L15" s="13" t="n"/>
      <c r="M15" s="13" t="n"/>
      <c r="N15" s="13" t="n"/>
      <c r="O15" s="13" t="n"/>
    </row>
    <row r="16">
      <c r="A16" t="inlineStr">
        <is>
          <t>DSO (days)</t>
        </is>
      </c>
      <c r="B16" s="11" t="inlineStr">
        <is>
          <t>down</t>
        </is>
      </c>
      <c r="C16" s="17" t="n">
        <v>0.05</v>
      </c>
      <c r="D16" s="21" t="n">
        <v>46</v>
      </c>
      <c r="E16" s="21" t="n">
        <v>46</v>
      </c>
      <c r="F16" s="21" t="n">
        <v>46</v>
      </c>
      <c r="G16" s="21" t="n">
        <v>46</v>
      </c>
      <c r="H16" s="21" t="n">
        <v>46</v>
      </c>
      <c r="I16" s="21" t="n">
        <v>46</v>
      </c>
      <c r="J16" s="21" t="n"/>
      <c r="K16" s="21" t="n"/>
      <c r="L16" s="21" t="n"/>
      <c r="M16" s="21" t="n"/>
      <c r="N16" s="21" t="n"/>
      <c r="O16" s="21" t="n"/>
    </row>
    <row r="17">
      <c r="A17" t="inlineStr">
        <is>
          <t>DPO (days)</t>
        </is>
      </c>
      <c r="B17" s="11" t="inlineStr">
        <is>
          <t>up</t>
        </is>
      </c>
      <c r="C17" s="17" t="n">
        <v>0.05</v>
      </c>
      <c r="D17" s="21" t="n">
        <v>40</v>
      </c>
      <c r="E17" s="21" t="n">
        <v>40</v>
      </c>
      <c r="F17" s="21" t="n">
        <v>40</v>
      </c>
      <c r="G17" s="21" t="n">
        <v>40</v>
      </c>
      <c r="H17" s="21" t="n">
        <v>40</v>
      </c>
      <c r="I17" s="21" t="n">
        <v>40</v>
      </c>
      <c r="J17" s="21" t="n"/>
      <c r="K17" s="21" t="n"/>
      <c r="L17" s="21" t="n"/>
      <c r="M17" s="21" t="n"/>
      <c r="N17" s="21" t="n"/>
      <c r="O17" s="21" t="n"/>
    </row>
    <row r="18">
      <c r="A18" t="inlineStr">
        <is>
          <t>Current ratio</t>
        </is>
      </c>
      <c r="B18" s="11" t="inlineStr">
        <is>
          <t>up</t>
        </is>
      </c>
      <c r="C18" s="17" t="n">
        <v>0.05</v>
      </c>
      <c r="D18" s="22" t="n">
        <v>1.6</v>
      </c>
      <c r="E18" s="22" t="n">
        <v>1.6</v>
      </c>
      <c r="F18" s="22" t="n">
        <v>1.6</v>
      </c>
      <c r="G18" s="22" t="n">
        <v>1.6</v>
      </c>
      <c r="H18" s="22" t="n">
        <v>1.6</v>
      </c>
      <c r="I18" s="22" t="n">
        <v>1.6</v>
      </c>
      <c r="J18" s="22" t="n"/>
      <c r="K18" s="22" t="n"/>
      <c r="L18" s="22" t="n"/>
      <c r="M18" s="22" t="n"/>
      <c r="N18" s="22" t="n"/>
      <c r="O18" s="22"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cols>
    <col width="4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s>
  <sheetData>
    <row r="1">
      <c r="A1" s="1" t="inlineStr">
        <is>
          <t>Checks</t>
        </is>
      </c>
    </row>
    <row r="2">
      <c r="A2" s="3" t="inlineStr">
        <is>
          <t>Every figure in rows 6-11 must be 0. Columns are the TB months.</t>
        </is>
      </c>
    </row>
    <row r="4">
      <c r="A4" s="5" t="inlineStr">
        <is>
          <t>Check</t>
        </is>
      </c>
      <c r="B4" s="5">
        <f>Calc!C$4</f>
        <v/>
      </c>
      <c r="C4" s="5">
        <f>Calc!D$4</f>
        <v/>
      </c>
      <c r="D4" s="5">
        <f>Calc!E$4</f>
        <v/>
      </c>
      <c r="E4" s="5">
        <f>Calc!F$4</f>
        <v/>
      </c>
      <c r="F4" s="5">
        <f>Calc!G$4</f>
        <v/>
      </c>
      <c r="G4" s="5">
        <f>Calc!H$4</f>
        <v/>
      </c>
      <c r="H4" s="5">
        <f>Calc!I$4</f>
        <v/>
      </c>
      <c r="I4" s="5">
        <f>Calc!J$4</f>
        <v/>
      </c>
      <c r="J4" s="5">
        <f>Calc!K$4</f>
        <v/>
      </c>
      <c r="K4" s="5">
        <f>Calc!L$4</f>
        <v/>
      </c>
      <c r="L4" s="5">
        <f>Calc!M$4</f>
        <v/>
      </c>
      <c r="M4" s="5">
        <f>Calc!N$4</f>
        <v/>
      </c>
      <c r="N4" s="5">
        <f>Calc!O$4</f>
        <v/>
      </c>
      <c r="O4" s="5">
        <f>Calc!P$4</f>
        <v/>
      </c>
      <c r="P4" s="5">
        <f>Calc!Q$4</f>
        <v/>
      </c>
    </row>
    <row r="6">
      <c r="A6" t="inlineStr">
        <is>
          <t>Trial balance month sums to 0</t>
        </is>
      </c>
      <c r="B6">
        <f>ROUND(SUM(TB!F$2:F$2000),2)</f>
        <v/>
      </c>
      <c r="C6">
        <f>ROUND(SUM(TB!G$2:G$2000),2)</f>
        <v/>
      </c>
      <c r="D6">
        <f>ROUND(SUM(TB!H$2:H$2000),2)</f>
        <v/>
      </c>
      <c r="E6">
        <f>ROUND(SUM(TB!I$2:I$2000),2)</f>
        <v/>
      </c>
      <c r="F6">
        <f>ROUND(SUM(TB!J$2:J$2000),2)</f>
        <v/>
      </c>
      <c r="G6">
        <f>ROUND(SUM(TB!K$2:K$2000),2)</f>
        <v/>
      </c>
      <c r="H6">
        <f>ROUND(SUM(TB!L$2:L$2000),2)</f>
        <v/>
      </c>
      <c r="I6">
        <f>ROUND(SUM(TB!M$2:M$2000),2)</f>
        <v/>
      </c>
      <c r="J6">
        <f>ROUND(SUM(TB!N$2:N$2000),2)</f>
        <v/>
      </c>
      <c r="K6">
        <f>ROUND(SUM(TB!O$2:O$2000),2)</f>
        <v/>
      </c>
      <c r="L6">
        <f>ROUND(SUM(TB!P$2:P$2000),2)</f>
        <v/>
      </c>
      <c r="M6">
        <f>ROUND(SUM(TB!Q$2:Q$2000),2)</f>
        <v/>
      </c>
      <c r="N6">
        <f>ROUND(SUM(TB!R$2:R$2000),2)</f>
        <v/>
      </c>
      <c r="O6">
        <f>ROUND(SUM(TB!S$2:S$2000),2)</f>
        <v/>
      </c>
      <c r="P6">
        <f>ROUND(SUM(TB!T$2:T$2000),2)</f>
        <v/>
      </c>
    </row>
    <row r="7">
      <c r="A7" t="inlineStr">
        <is>
          <t>Opening balances sum to 0</t>
        </is>
      </c>
      <c r="B7">
        <f>ROUND(SUM(TB!$E$2:$E$2000),2)</f>
        <v/>
      </c>
      <c r="C7">
        <f>ROUND(SUM(TB!$E$2:$E$2000),2)</f>
        <v/>
      </c>
      <c r="D7">
        <f>ROUND(SUM(TB!$E$2:$E$2000),2)</f>
        <v/>
      </c>
      <c r="E7">
        <f>ROUND(SUM(TB!$E$2:$E$2000),2)</f>
        <v/>
      </c>
      <c r="F7">
        <f>ROUND(SUM(TB!$E$2:$E$2000),2)</f>
        <v/>
      </c>
      <c r="G7">
        <f>ROUND(SUM(TB!$E$2:$E$2000),2)</f>
        <v/>
      </c>
      <c r="H7">
        <f>ROUND(SUM(TB!$E$2:$E$2000),2)</f>
        <v/>
      </c>
      <c r="I7">
        <f>ROUND(SUM(TB!$E$2:$E$2000),2)</f>
        <v/>
      </c>
      <c r="J7">
        <f>ROUND(SUM(TB!$E$2:$E$2000),2)</f>
        <v/>
      </c>
      <c r="K7">
        <f>ROUND(SUM(TB!$E$2:$E$2000),2)</f>
        <v/>
      </c>
      <c r="L7">
        <f>ROUND(SUM(TB!$E$2:$E$2000),2)</f>
        <v/>
      </c>
      <c r="M7">
        <f>ROUND(SUM(TB!$E$2:$E$2000),2)</f>
        <v/>
      </c>
      <c r="N7">
        <f>ROUND(SUM(TB!$E$2:$E$2000),2)</f>
        <v/>
      </c>
      <c r="O7">
        <f>ROUND(SUM(TB!$E$2:$E$2000),2)</f>
        <v/>
      </c>
      <c r="P7">
        <f>ROUND(SUM(TB!$E$2:$E$2000),2)</f>
        <v/>
      </c>
    </row>
    <row r="8">
      <c r="A8" t="inlineStr">
        <is>
          <t>Unmapped accounts</t>
        </is>
      </c>
      <c r="B8">
        <f>COUNTIFS(TB!$C$2:$C$2000,"UNMAPPED")</f>
        <v/>
      </c>
      <c r="C8">
        <f>COUNTIFS(TB!$C$2:$C$2000,"UNMAPPED")</f>
        <v/>
      </c>
      <c r="D8">
        <f>COUNTIFS(TB!$C$2:$C$2000,"UNMAPPED")</f>
        <v/>
      </c>
      <c r="E8">
        <f>COUNTIFS(TB!$C$2:$C$2000,"UNMAPPED")</f>
        <v/>
      </c>
      <c r="F8">
        <f>COUNTIFS(TB!$C$2:$C$2000,"UNMAPPED")</f>
        <v/>
      </c>
      <c r="G8">
        <f>COUNTIFS(TB!$C$2:$C$2000,"UNMAPPED")</f>
        <v/>
      </c>
      <c r="H8">
        <f>COUNTIFS(TB!$C$2:$C$2000,"UNMAPPED")</f>
        <v/>
      </c>
      <c r="I8">
        <f>COUNTIFS(TB!$C$2:$C$2000,"UNMAPPED")</f>
        <v/>
      </c>
      <c r="J8">
        <f>COUNTIFS(TB!$C$2:$C$2000,"UNMAPPED")</f>
        <v/>
      </c>
      <c r="K8">
        <f>COUNTIFS(TB!$C$2:$C$2000,"UNMAPPED")</f>
        <v/>
      </c>
      <c r="L8">
        <f>COUNTIFS(TB!$C$2:$C$2000,"UNMAPPED")</f>
        <v/>
      </c>
      <c r="M8">
        <f>COUNTIFS(TB!$C$2:$C$2000,"UNMAPPED")</f>
        <v/>
      </c>
      <c r="N8">
        <f>COUNTIFS(TB!$C$2:$C$2000,"UNMAPPED")</f>
        <v/>
      </c>
      <c r="O8">
        <f>COUNTIFS(TB!$C$2:$C$2000,"UNMAPPED")</f>
        <v/>
      </c>
      <c r="P8">
        <f>COUNTIFS(TB!$C$2:$C$2000,"UNMAPPED")</f>
        <v/>
      </c>
    </row>
    <row r="9">
      <c r="A9" t="inlineStr">
        <is>
          <t>Net income: Calc less ledger</t>
        </is>
      </c>
      <c r="B9">
        <f>ROUND(Calc!C15+SUMIFS(TB!F$2:F$2000,TB!$D$2:$D$2000,"PL"),2)</f>
        <v/>
      </c>
      <c r="C9">
        <f>ROUND(Calc!D15+SUMIFS(TB!G$2:G$2000,TB!$D$2:$D$2000,"PL"),2)</f>
        <v/>
      </c>
      <c r="D9">
        <f>ROUND(Calc!E15+SUMIFS(TB!H$2:H$2000,TB!$D$2:$D$2000,"PL"),2)</f>
        <v/>
      </c>
      <c r="E9">
        <f>ROUND(Calc!F15+SUMIFS(TB!I$2:I$2000,TB!$D$2:$D$2000,"PL"),2)</f>
        <v/>
      </c>
      <c r="F9">
        <f>ROUND(Calc!G15+SUMIFS(TB!J$2:J$2000,TB!$D$2:$D$2000,"PL"),2)</f>
        <v/>
      </c>
      <c r="G9">
        <f>ROUND(Calc!H15+SUMIFS(TB!K$2:K$2000,TB!$D$2:$D$2000,"PL"),2)</f>
        <v/>
      </c>
      <c r="H9">
        <f>ROUND(Calc!I15+SUMIFS(TB!L$2:L$2000,TB!$D$2:$D$2000,"PL"),2)</f>
        <v/>
      </c>
      <c r="I9">
        <f>ROUND(Calc!J15+SUMIFS(TB!M$2:M$2000,TB!$D$2:$D$2000,"PL"),2)</f>
        <v/>
      </c>
      <c r="J9">
        <f>ROUND(Calc!K15+SUMIFS(TB!N$2:N$2000,TB!$D$2:$D$2000,"PL"),2)</f>
        <v/>
      </c>
      <c r="K9">
        <f>ROUND(Calc!L15+SUMIFS(TB!O$2:O$2000,TB!$D$2:$D$2000,"PL"),2)</f>
        <v/>
      </c>
      <c r="L9">
        <f>ROUND(Calc!M15+SUMIFS(TB!P$2:P$2000,TB!$D$2:$D$2000,"PL"),2)</f>
        <v/>
      </c>
      <c r="M9">
        <f>ROUND(Calc!N15+SUMIFS(TB!Q$2:Q$2000,TB!$D$2:$D$2000,"PL"),2)</f>
        <v/>
      </c>
      <c r="N9">
        <f>ROUND(Calc!O15+SUMIFS(TB!R$2:R$2000,TB!$D$2:$D$2000,"PL"),2)</f>
        <v/>
      </c>
      <c r="O9">
        <f>ROUND(Calc!P15+SUMIFS(TB!S$2:S$2000,TB!$D$2:$D$2000,"PL"),2)</f>
        <v/>
      </c>
      <c r="P9">
        <f>ROUND(Calc!Q15+SUMIFS(TB!T$2:T$2000,TB!$D$2:$D$2000,"PL"),2)</f>
        <v/>
      </c>
    </row>
    <row r="10">
      <c r="A10" t="inlineStr">
        <is>
          <t>EBITDA: gross profit less opex, less ledger EBITDA</t>
        </is>
      </c>
      <c r="B10">
        <f>ROUND(Calc!C10-(-SUMIFS(TB!F$2:F$2000,TB!$D$2:$D$2000,"PL")+Calc!C12+Calc!C13+Calc!C14),2)</f>
        <v/>
      </c>
      <c r="C10">
        <f>ROUND(Calc!D10-(-SUMIFS(TB!G$2:G$2000,TB!$D$2:$D$2000,"PL")+Calc!D12+Calc!D13+Calc!D14),2)</f>
        <v/>
      </c>
      <c r="D10">
        <f>ROUND(Calc!E10-(-SUMIFS(TB!H$2:H$2000,TB!$D$2:$D$2000,"PL")+Calc!E12+Calc!E13+Calc!E14),2)</f>
        <v/>
      </c>
      <c r="E10">
        <f>ROUND(Calc!F10-(-SUMIFS(TB!I$2:I$2000,TB!$D$2:$D$2000,"PL")+Calc!F12+Calc!F13+Calc!F14),2)</f>
        <v/>
      </c>
      <c r="F10">
        <f>ROUND(Calc!G10-(-SUMIFS(TB!J$2:J$2000,TB!$D$2:$D$2000,"PL")+Calc!G12+Calc!G13+Calc!G14),2)</f>
        <v/>
      </c>
      <c r="G10">
        <f>ROUND(Calc!H10-(-SUMIFS(TB!K$2:K$2000,TB!$D$2:$D$2000,"PL")+Calc!H12+Calc!H13+Calc!H14),2)</f>
        <v/>
      </c>
      <c r="H10">
        <f>ROUND(Calc!I10-(-SUMIFS(TB!L$2:L$2000,TB!$D$2:$D$2000,"PL")+Calc!I12+Calc!I13+Calc!I14),2)</f>
        <v/>
      </c>
      <c r="I10">
        <f>ROUND(Calc!J10-(-SUMIFS(TB!M$2:M$2000,TB!$D$2:$D$2000,"PL")+Calc!J12+Calc!J13+Calc!J14),2)</f>
        <v/>
      </c>
      <c r="J10">
        <f>ROUND(Calc!K10-(-SUMIFS(TB!N$2:N$2000,TB!$D$2:$D$2000,"PL")+Calc!K12+Calc!K13+Calc!K14),2)</f>
        <v/>
      </c>
      <c r="K10">
        <f>ROUND(Calc!L10-(-SUMIFS(TB!O$2:O$2000,TB!$D$2:$D$2000,"PL")+Calc!L12+Calc!L13+Calc!L14),2)</f>
        <v/>
      </c>
      <c r="L10">
        <f>ROUND(Calc!M10-(-SUMIFS(TB!P$2:P$2000,TB!$D$2:$D$2000,"PL")+Calc!M12+Calc!M13+Calc!M14),2)</f>
        <v/>
      </c>
      <c r="M10">
        <f>ROUND(Calc!N10-(-SUMIFS(TB!Q$2:Q$2000,TB!$D$2:$D$2000,"PL")+Calc!N12+Calc!N13+Calc!N14),2)</f>
        <v/>
      </c>
      <c r="N10">
        <f>ROUND(Calc!O10-(-SUMIFS(TB!R$2:R$2000,TB!$D$2:$D$2000,"PL")+Calc!O12+Calc!O13+Calc!O14),2)</f>
        <v/>
      </c>
      <c r="O10">
        <f>ROUND(Calc!P10-(-SUMIFS(TB!S$2:S$2000,TB!$D$2:$D$2000,"PL")+Calc!P12+Calc!P13+Calc!P14),2)</f>
        <v/>
      </c>
      <c r="P10">
        <f>ROUND(Calc!Q10-(-SUMIFS(TB!T$2:T$2000,TB!$D$2:$D$2000,"PL")+Calc!Q12+Calc!Q13+Calc!Q14),2)</f>
        <v/>
      </c>
    </row>
    <row r="11">
      <c r="A11" t="inlineStr">
        <is>
          <t>Cash: opening plus cash flow, less ledger cash</t>
        </is>
      </c>
      <c r="B11">
        <f>ROUND(Calc!C39-Calc!C17,2)</f>
        <v/>
      </c>
      <c r="C11">
        <f>ROUND(Calc!D39-Calc!D17,2)</f>
        <v/>
      </c>
      <c r="D11">
        <f>ROUND(Calc!E39-Calc!E17,2)</f>
        <v/>
      </c>
      <c r="E11">
        <f>ROUND(Calc!F39-Calc!F17,2)</f>
        <v/>
      </c>
      <c r="F11">
        <f>ROUND(Calc!G39-Calc!G17,2)</f>
        <v/>
      </c>
      <c r="G11">
        <f>ROUND(Calc!H39-Calc!H17,2)</f>
        <v/>
      </c>
      <c r="H11">
        <f>ROUND(Calc!I39-Calc!I17,2)</f>
        <v/>
      </c>
      <c r="I11">
        <f>ROUND(Calc!J39-Calc!J17,2)</f>
        <v/>
      </c>
      <c r="J11">
        <f>ROUND(Calc!K39-Calc!K17,2)</f>
        <v/>
      </c>
      <c r="K11">
        <f>ROUND(Calc!L39-Calc!L17,2)</f>
        <v/>
      </c>
      <c r="L11">
        <f>ROUND(Calc!M39-Calc!M17,2)</f>
        <v/>
      </c>
      <c r="M11">
        <f>ROUND(Calc!N39-Calc!N17,2)</f>
        <v/>
      </c>
      <c r="N11">
        <f>ROUND(Calc!O39-Calc!O17,2)</f>
        <v/>
      </c>
      <c r="O11">
        <f>ROUND(Calc!P39-Calc!P17,2)</f>
        <v/>
      </c>
      <c r="P11">
        <f>ROUND(Calc!Q39-Calc!Q17,2)</f>
        <v/>
      </c>
    </row>
    <row r="13">
      <c r="A13" s="14" t="inlineStr">
        <is>
          <t>Checks not at 0</t>
        </is>
      </c>
      <c r="B13" s="14">
        <f>COUNTIFS(B6:P11,"&gt;0")+COUNTIFS(B6:P11,"&lt;0")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Covirage (covirage.ai)</dc:creator>
  <dc:title>Financial dashboard template</dc:title>
  <dcterms:created xsi:type="dcterms:W3CDTF">2026-10-01T06:43:30Z</dcterms:created>
  <dcterms:modified xsi:type="dcterms:W3CDTF">2026-10-01T06:43:30Z</dcterms:modified>
</cp:coreProperties>
</file>