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ummary" sheetId="2" state="visible" r:id="rId2"/>
    <sheet name="Forecast" sheetId="3" state="visible" r:id="rId3"/>
    <sheet name="Variance" sheetId="4" state="visible" r:id="rId4"/>
    <sheet name="Inputs" sheetId="5" state="visible" r:id="rId5"/>
    <sheet name="Paid" sheetId="6" state="visible" r:id="rId6"/>
    <sheet name="AR" sheetId="7" state="visible" r:id="rId7"/>
    <sheet name="AP" sheetId="8" state="visible" r:id="rId8"/>
    <sheet name="Fixed" sheetId="9" state="visible" r:id="rId9"/>
  </sheets>
  <definedNames/>
  <calcPr calcId="124519" fullCalcOnLoad="1"/>
</workbook>
</file>

<file path=xl/styles.xml><?xml version="1.0" encoding="utf-8"?>
<styleSheet xmlns="http://schemas.openxmlformats.org/spreadsheetml/2006/main">
  <numFmts count="5">
    <numFmt numFmtId="164" formatCode="yyyy-mm-dd"/>
    <numFmt numFmtId="165" formatCode="m/d/yyyy"/>
    <numFmt numFmtId="166" formatCode="$#,##0;($#,##0)"/>
    <numFmt numFmtId="167" formatCode="#,##0;(#,##0)"/>
    <numFmt numFmtId="168" formatCode="0.0%"/>
  </numFmts>
  <fonts count="5">
    <font>
      <name val="Calibri"/>
      <family val="2"/>
      <color theme="1"/>
      <sz val="11"/>
      <scheme val="minor"/>
    </font>
    <font>
      <b val="1"/>
      <color rgb="002B4CFF"/>
      <sz val="14"/>
    </font>
    <font>
      <i val="1"/>
      <color rgb="005B6577"/>
    </font>
    <font>
      <b val="1"/>
      <color rgb="000B1220"/>
    </font>
    <font>
      <b val="1"/>
    </font>
  </fonts>
  <fills count="4">
    <fill>
      <patternFill/>
    </fill>
    <fill>
      <patternFill patternType="gray125"/>
    </fill>
    <fill>
      <patternFill patternType="solid">
        <fgColor rgb="00FFFDF0"/>
      </patternFill>
    </fill>
    <fill>
      <patternFill patternType="solid">
        <fgColor rgb="00EAEEFF"/>
      </patternFill>
    </fill>
  </fills>
  <borders count="2">
    <border>
      <left/>
      <right/>
      <top/>
      <bottom/>
      <diagonal/>
    </border>
    <border>
      <top style="thin">
        <color rgb="000B1220"/>
      </top>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3" borderId="0" applyAlignment="1" pivotButton="0" quotePrefix="0" xfId="0">
      <alignment vertical="center" wrapText="1"/>
    </xf>
    <xf numFmtId="167" fontId="0" fillId="0" borderId="0" pivotButton="0" quotePrefix="0" xfId="0"/>
    <xf numFmtId="165" fontId="0" fillId="0" borderId="0" pivotButton="0" quotePrefix="0" xfId="0"/>
    <xf numFmtId="166" fontId="0" fillId="0" borderId="0" pivotButton="0" quotePrefix="0" xfId="0"/>
    <xf numFmtId="166" fontId="0" fillId="2" borderId="0" pivotButton="0" quotePrefix="0" xfId="0"/>
    <xf numFmtId="0" fontId="4" fillId="0" borderId="1" pivotButton="0" quotePrefix="0" xfId="0"/>
    <xf numFmtId="166" fontId="4" fillId="0" borderId="1" pivotButton="0" quotePrefix="0" xfId="0"/>
    <xf numFmtId="0" fontId="4" fillId="0" borderId="0" pivotButton="0" quotePrefix="0" xfId="0"/>
    <xf numFmtId="165" fontId="0" fillId="2" borderId="0" pivotButton="0" quotePrefix="0" xfId="0"/>
    <xf numFmtId="168" fontId="0" fillId="0" borderId="0" pivotButton="0" quotePrefix="0" xfId="0"/>
    <xf numFmtId="168" fontId="4" fillId="0" borderId="1" pivotButton="0" quotePrefix="0" xfId="0"/>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1" t="inlineStr">
        <is>
          <t>13-week cash flow template (direct method)</t>
        </is>
      </c>
    </row>
    <row r="3">
      <c r="A3" s="2" t="inlineStr">
        <is>
          <t>1. Inputs: type the Monday of week 1, opening cash (the bank balance at that date), the minimum cash balance and the revolver limit. The 13 week start and end dates fill themselves.</t>
        </is>
      </c>
    </row>
    <row r="4">
      <c r="A4" s="2" t="inlineStr">
        <is>
          <t>2. Paid: paste paid invoices from your receivables system (customer, due date, paid date). Days late is computed per invoice, and AR uses each customer's average.</t>
        </is>
      </c>
    </row>
    <row r="5">
      <c r="A5" s="2" t="inlineStr">
        <is>
          <t>3. AR: paste open invoices (invoice, customer, invoice date, due date, amount). Each invoice is placed in the week of due date + that customer's average days late. Overdue invoices land in week 1; anything after week 13 shows "Later".</t>
        </is>
      </c>
    </row>
    <row r="6">
      <c r="A6" s="2" t="inlineStr">
        <is>
          <t>4. AP: paste open bills and type the date you plan to pay each one in column E (it defaults to the due date).</t>
        </is>
      </c>
    </row>
    <row r="7">
      <c r="A7" s="2" t="inlineStr">
        <is>
          <t>5. Fixed: one row per dated payment that is not a supplier bill: payroll, rent and other opex, sales tax, estimated tax, loan interest and principal. Line must be Payroll, Other opex or Tax and debt service.</t>
        </is>
      </c>
    </row>
    <row r="8">
      <c r="A8" s="2" t="inlineStr">
        <is>
          <t>6. Forecast: receipts and disbursements by week, net flow, closing cash before funding, the draw needed to hold the minimum, and closing cash. Type any planned revolver draw or repayment in the yellow rows.</t>
        </is>
      </c>
    </row>
    <row r="9">
      <c r="A9" s="2" t="inlineStr">
        <is>
          <t>7. Every week: replace the finished week with actuals on Variance, compare by line, move the Monday on Inputs forward one week and refresh AR, AP and Fixed.</t>
        </is>
      </c>
    </row>
    <row r="10">
      <c r="A10" s="2" t="inlineStr">
        <is>
          <t>Checks at the bottom of Forecast must all be 0. The sample rows are an example company; replace the yellow cells with your own.</t>
        </is>
      </c>
    </row>
    <row r="12">
      <c r="A12" s="3" t="inlineStr">
        <is>
          <t>Made by Covirage. Upload your own export at covirage.ai and every figure is computed and traced to its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4" topLeftCell="A5" activePane="bottomLeft" state="frozen"/>
      <selection pane="bottomLeft" activeCell="A1" sqref="A1"/>
    </sheetView>
  </sheetViews>
  <sheetFormatPr baseColWidth="8" defaultRowHeight="15"/>
  <cols>
    <col width="7" customWidth="1" min="1" max="1"/>
    <col width="12" customWidth="1" min="2" max="2"/>
    <col width="12" customWidth="1" min="3" max="3"/>
    <col width="14" customWidth="1" min="4" max="4"/>
    <col width="12" customWidth="1" min="5" max="5"/>
    <col width="13" customWidth="1" min="6" max="6"/>
    <col width="13" customWidth="1" min="7" max="7"/>
    <col width="14" customWidth="1" min="8" max="8"/>
  </cols>
  <sheetData>
    <row r="1">
      <c r="A1" s="1" t="inlineStr">
        <is>
          <t>13-week cash flow: summary</t>
        </is>
      </c>
    </row>
    <row r="2">
      <c r="A2" s="3" t="inlineStr">
        <is>
          <t>USD. One row per week, read from Forecast. Headroom below 0 means closing cash is under the minimum.</t>
        </is>
      </c>
    </row>
    <row r="4">
      <c r="A4" s="4" t="inlineStr">
        <is>
          <t>Week</t>
        </is>
      </c>
      <c r="B4" s="4" t="inlineStr">
        <is>
          <t>Week ending</t>
        </is>
      </c>
      <c r="C4" s="4" t="inlineStr">
        <is>
          <t>Receipts</t>
        </is>
      </c>
      <c r="D4" s="4" t="inlineStr">
        <is>
          <t>Disbursements</t>
        </is>
      </c>
      <c r="E4" s="4" t="inlineStr">
        <is>
          <t>Net flow</t>
        </is>
      </c>
      <c r="F4" s="4" t="inlineStr">
        <is>
          <t>Revolver draw</t>
        </is>
      </c>
      <c r="G4" s="4" t="inlineStr">
        <is>
          <t>Closing cash</t>
        </is>
      </c>
      <c r="H4" s="4" t="inlineStr">
        <is>
          <t>Headroom over minimum</t>
        </is>
      </c>
    </row>
    <row r="5">
      <c r="A5" t="n">
        <v>1</v>
      </c>
      <c r="B5">
        <f>MONTH(Forecast!C5)&amp;"/"&amp;(Forecast!C5-DATE(YEAR(Forecast!C5),MONTH(Forecast!C5),1)+1)&amp;"/"&amp;YEAR(Forecast!C5)</f>
        <v/>
      </c>
      <c r="C5" s="5">
        <f>Forecast!C9</f>
        <v/>
      </c>
      <c r="D5" s="5">
        <f>Forecast!C14</f>
        <v/>
      </c>
      <c r="E5" s="5">
        <f>Forecast!C15</f>
        <v/>
      </c>
      <c r="F5" s="5">
        <f>Forecast!C18-Forecast!C19</f>
        <v/>
      </c>
      <c r="G5" s="5">
        <f>Forecast!C20</f>
        <v/>
      </c>
      <c r="H5" s="5">
        <f>Forecast!C21</f>
        <v/>
      </c>
    </row>
    <row r="6">
      <c r="A6" t="n">
        <v>2</v>
      </c>
      <c r="B6">
        <f>MONTH(Forecast!D5)&amp;"/"&amp;(Forecast!D5-DATE(YEAR(Forecast!D5),MONTH(Forecast!D5),1)+1)&amp;"/"&amp;YEAR(Forecast!D5)</f>
        <v/>
      </c>
      <c r="C6" s="5">
        <f>Forecast!D9</f>
        <v/>
      </c>
      <c r="D6" s="5">
        <f>Forecast!D14</f>
        <v/>
      </c>
      <c r="E6" s="5">
        <f>Forecast!D15</f>
        <v/>
      </c>
      <c r="F6" s="5">
        <f>Forecast!D18-Forecast!D19</f>
        <v/>
      </c>
      <c r="G6" s="5">
        <f>Forecast!D20</f>
        <v/>
      </c>
      <c r="H6" s="5">
        <f>Forecast!D21</f>
        <v/>
      </c>
    </row>
    <row r="7">
      <c r="A7" t="n">
        <v>3</v>
      </c>
      <c r="B7">
        <f>MONTH(Forecast!E5)&amp;"/"&amp;(Forecast!E5-DATE(YEAR(Forecast!E5),MONTH(Forecast!E5),1)+1)&amp;"/"&amp;YEAR(Forecast!E5)</f>
        <v/>
      </c>
      <c r="C7" s="5">
        <f>Forecast!E9</f>
        <v/>
      </c>
      <c r="D7" s="5">
        <f>Forecast!E14</f>
        <v/>
      </c>
      <c r="E7" s="5">
        <f>Forecast!E15</f>
        <v/>
      </c>
      <c r="F7" s="5">
        <f>Forecast!E18-Forecast!E19</f>
        <v/>
      </c>
      <c r="G7" s="5">
        <f>Forecast!E20</f>
        <v/>
      </c>
      <c r="H7" s="5">
        <f>Forecast!E21</f>
        <v/>
      </c>
    </row>
    <row r="8">
      <c r="A8" t="n">
        <v>4</v>
      </c>
      <c r="B8">
        <f>MONTH(Forecast!F5)&amp;"/"&amp;(Forecast!F5-DATE(YEAR(Forecast!F5),MONTH(Forecast!F5),1)+1)&amp;"/"&amp;YEAR(Forecast!F5)</f>
        <v/>
      </c>
      <c r="C8" s="5">
        <f>Forecast!F9</f>
        <v/>
      </c>
      <c r="D8" s="5">
        <f>Forecast!F14</f>
        <v/>
      </c>
      <c r="E8" s="5">
        <f>Forecast!F15</f>
        <v/>
      </c>
      <c r="F8" s="5">
        <f>Forecast!F18-Forecast!F19</f>
        <v/>
      </c>
      <c r="G8" s="5">
        <f>Forecast!F20</f>
        <v/>
      </c>
      <c r="H8" s="5">
        <f>Forecast!F21</f>
        <v/>
      </c>
    </row>
    <row r="9">
      <c r="A9" t="n">
        <v>5</v>
      </c>
      <c r="B9">
        <f>MONTH(Forecast!G5)&amp;"/"&amp;(Forecast!G5-DATE(YEAR(Forecast!G5),MONTH(Forecast!G5),1)+1)&amp;"/"&amp;YEAR(Forecast!G5)</f>
        <v/>
      </c>
      <c r="C9" s="5">
        <f>Forecast!G9</f>
        <v/>
      </c>
      <c r="D9" s="5">
        <f>Forecast!G14</f>
        <v/>
      </c>
      <c r="E9" s="5">
        <f>Forecast!G15</f>
        <v/>
      </c>
      <c r="F9" s="5">
        <f>Forecast!G18-Forecast!G19</f>
        <v/>
      </c>
      <c r="G9" s="5">
        <f>Forecast!G20</f>
        <v/>
      </c>
      <c r="H9" s="5">
        <f>Forecast!G21</f>
        <v/>
      </c>
    </row>
    <row r="10">
      <c r="A10" t="n">
        <v>6</v>
      </c>
      <c r="B10">
        <f>MONTH(Forecast!H5)&amp;"/"&amp;(Forecast!H5-DATE(YEAR(Forecast!H5),MONTH(Forecast!H5),1)+1)&amp;"/"&amp;YEAR(Forecast!H5)</f>
        <v/>
      </c>
      <c r="C10" s="5">
        <f>Forecast!H9</f>
        <v/>
      </c>
      <c r="D10" s="5">
        <f>Forecast!H14</f>
        <v/>
      </c>
      <c r="E10" s="5">
        <f>Forecast!H15</f>
        <v/>
      </c>
      <c r="F10" s="5">
        <f>Forecast!H18-Forecast!H19</f>
        <v/>
      </c>
      <c r="G10" s="5">
        <f>Forecast!H20</f>
        <v/>
      </c>
      <c r="H10" s="5">
        <f>Forecast!H21</f>
        <v/>
      </c>
    </row>
    <row r="11">
      <c r="A11" t="n">
        <v>7</v>
      </c>
      <c r="B11">
        <f>MONTH(Forecast!I5)&amp;"/"&amp;(Forecast!I5-DATE(YEAR(Forecast!I5),MONTH(Forecast!I5),1)+1)&amp;"/"&amp;YEAR(Forecast!I5)</f>
        <v/>
      </c>
      <c r="C11" s="5">
        <f>Forecast!I9</f>
        <v/>
      </c>
      <c r="D11" s="5">
        <f>Forecast!I14</f>
        <v/>
      </c>
      <c r="E11" s="5">
        <f>Forecast!I15</f>
        <v/>
      </c>
      <c r="F11" s="5">
        <f>Forecast!I18-Forecast!I19</f>
        <v/>
      </c>
      <c r="G11" s="5">
        <f>Forecast!I20</f>
        <v/>
      </c>
      <c r="H11" s="5">
        <f>Forecast!I21</f>
        <v/>
      </c>
    </row>
    <row r="12">
      <c r="A12" t="n">
        <v>8</v>
      </c>
      <c r="B12">
        <f>MONTH(Forecast!J5)&amp;"/"&amp;(Forecast!J5-DATE(YEAR(Forecast!J5),MONTH(Forecast!J5),1)+1)&amp;"/"&amp;YEAR(Forecast!J5)</f>
        <v/>
      </c>
      <c r="C12" s="5">
        <f>Forecast!J9</f>
        <v/>
      </c>
      <c r="D12" s="5">
        <f>Forecast!J14</f>
        <v/>
      </c>
      <c r="E12" s="5">
        <f>Forecast!J15</f>
        <v/>
      </c>
      <c r="F12" s="5">
        <f>Forecast!J18-Forecast!J19</f>
        <v/>
      </c>
      <c r="G12" s="5">
        <f>Forecast!J20</f>
        <v/>
      </c>
      <c r="H12" s="5">
        <f>Forecast!J21</f>
        <v/>
      </c>
    </row>
    <row r="13">
      <c r="A13" t="n">
        <v>9</v>
      </c>
      <c r="B13">
        <f>MONTH(Forecast!K5)&amp;"/"&amp;(Forecast!K5-DATE(YEAR(Forecast!K5),MONTH(Forecast!K5),1)+1)&amp;"/"&amp;YEAR(Forecast!K5)</f>
        <v/>
      </c>
      <c r="C13" s="5">
        <f>Forecast!K9</f>
        <v/>
      </c>
      <c r="D13" s="5">
        <f>Forecast!K14</f>
        <v/>
      </c>
      <c r="E13" s="5">
        <f>Forecast!K15</f>
        <v/>
      </c>
      <c r="F13" s="5">
        <f>Forecast!K18-Forecast!K19</f>
        <v/>
      </c>
      <c r="G13" s="5">
        <f>Forecast!K20</f>
        <v/>
      </c>
      <c r="H13" s="5">
        <f>Forecast!K21</f>
        <v/>
      </c>
    </row>
    <row r="14">
      <c r="A14" t="n">
        <v>10</v>
      </c>
      <c r="B14">
        <f>MONTH(Forecast!L5)&amp;"/"&amp;(Forecast!L5-DATE(YEAR(Forecast!L5),MONTH(Forecast!L5),1)+1)&amp;"/"&amp;YEAR(Forecast!L5)</f>
        <v/>
      </c>
      <c r="C14" s="5">
        <f>Forecast!L9</f>
        <v/>
      </c>
      <c r="D14" s="5">
        <f>Forecast!L14</f>
        <v/>
      </c>
      <c r="E14" s="5">
        <f>Forecast!L15</f>
        <v/>
      </c>
      <c r="F14" s="5">
        <f>Forecast!L18-Forecast!L19</f>
        <v/>
      </c>
      <c r="G14" s="5">
        <f>Forecast!L20</f>
        <v/>
      </c>
      <c r="H14" s="5">
        <f>Forecast!L21</f>
        <v/>
      </c>
    </row>
    <row r="15">
      <c r="A15" t="n">
        <v>11</v>
      </c>
      <c r="B15">
        <f>MONTH(Forecast!M5)&amp;"/"&amp;(Forecast!M5-DATE(YEAR(Forecast!M5),MONTH(Forecast!M5),1)+1)&amp;"/"&amp;YEAR(Forecast!M5)</f>
        <v/>
      </c>
      <c r="C15" s="5">
        <f>Forecast!M9</f>
        <v/>
      </c>
      <c r="D15" s="5">
        <f>Forecast!M14</f>
        <v/>
      </c>
      <c r="E15" s="5">
        <f>Forecast!M15</f>
        <v/>
      </c>
      <c r="F15" s="5">
        <f>Forecast!M18-Forecast!M19</f>
        <v/>
      </c>
      <c r="G15" s="5">
        <f>Forecast!M20</f>
        <v/>
      </c>
      <c r="H15" s="5">
        <f>Forecast!M21</f>
        <v/>
      </c>
    </row>
    <row r="16">
      <c r="A16" t="n">
        <v>12</v>
      </c>
      <c r="B16">
        <f>MONTH(Forecast!N5)&amp;"/"&amp;(Forecast!N5-DATE(YEAR(Forecast!N5),MONTH(Forecast!N5),1)+1)&amp;"/"&amp;YEAR(Forecast!N5)</f>
        <v/>
      </c>
      <c r="C16" s="5">
        <f>Forecast!N9</f>
        <v/>
      </c>
      <c r="D16" s="5">
        <f>Forecast!N14</f>
        <v/>
      </c>
      <c r="E16" s="5">
        <f>Forecast!N15</f>
        <v/>
      </c>
      <c r="F16" s="5">
        <f>Forecast!N18-Forecast!N19</f>
        <v/>
      </c>
      <c r="G16" s="5">
        <f>Forecast!N20</f>
        <v/>
      </c>
      <c r="H16" s="5">
        <f>Forecast!N21</f>
        <v/>
      </c>
    </row>
    <row r="17">
      <c r="A17" t="n">
        <v>13</v>
      </c>
      <c r="B17">
        <f>MONTH(Forecast!O5)&amp;"/"&amp;(Forecast!O5-DATE(YEAR(Forecast!O5),MONTH(Forecast!O5),1)+1)&amp;"/"&amp;YEAR(Forecast!O5)</f>
        <v/>
      </c>
      <c r="C17" s="5">
        <f>Forecast!O9</f>
        <v/>
      </c>
      <c r="D17" s="5">
        <f>Forecast!O14</f>
        <v/>
      </c>
      <c r="E17" s="5">
        <f>Forecast!O15</f>
        <v/>
      </c>
      <c r="F17" s="5">
        <f>Forecast!O18-Forecast!O19</f>
        <v/>
      </c>
      <c r="G17" s="5">
        <f>Forecast!O20</f>
        <v/>
      </c>
      <c r="H17" s="5">
        <f>Forecast!O21</f>
        <v/>
      </c>
    </row>
    <row r="19">
      <c r="A19" t="inlineStr">
        <is>
          <t>Opening cash, week 1</t>
        </is>
      </c>
      <c r="G19" s="5">
        <f>Forecast!C6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4"/>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s>
  <sheetData>
    <row r="1">
      <c r="A1" s="1" t="inlineStr">
        <is>
          <t>13-week cash flow</t>
        </is>
      </c>
    </row>
    <row r="2">
      <c r="A2" s="3" t="inlineStr">
        <is>
          <t>USD. Direct method. Opening cash of week 1 is the bank balance on Inputs.</t>
        </is>
      </c>
    </row>
    <row r="4">
      <c r="A4" s="4" t="inlineStr">
        <is>
          <t>Line</t>
        </is>
      </c>
      <c r="B4" s="4" t="inlineStr">
        <is>
          <t>Total</t>
        </is>
      </c>
      <c r="C4" s="4" t="inlineStr">
        <is>
          <t>Week 1</t>
        </is>
      </c>
      <c r="D4" s="4" t="inlineStr">
        <is>
          <t>Week 2</t>
        </is>
      </c>
      <c r="E4" s="4" t="inlineStr">
        <is>
          <t>Week 3</t>
        </is>
      </c>
      <c r="F4" s="4" t="inlineStr">
        <is>
          <t>Week 4</t>
        </is>
      </c>
      <c r="G4" s="4" t="inlineStr">
        <is>
          <t>Week 5</t>
        </is>
      </c>
      <c r="H4" s="4" t="inlineStr">
        <is>
          <t>Week 6</t>
        </is>
      </c>
      <c r="I4" s="4" t="inlineStr">
        <is>
          <t>Week 7</t>
        </is>
      </c>
      <c r="J4" s="4" t="inlineStr">
        <is>
          <t>Week 8</t>
        </is>
      </c>
      <c r="K4" s="4" t="inlineStr">
        <is>
          <t>Week 9</t>
        </is>
      </c>
      <c r="L4" s="4" t="inlineStr">
        <is>
          <t>Week 10</t>
        </is>
      </c>
      <c r="M4" s="4" t="inlineStr">
        <is>
          <t>Week 11</t>
        </is>
      </c>
      <c r="N4" s="4" t="inlineStr">
        <is>
          <t>Week 12</t>
        </is>
      </c>
      <c r="O4" s="4" t="inlineStr">
        <is>
          <t>Week 13</t>
        </is>
      </c>
    </row>
    <row r="5">
      <c r="A5" t="inlineStr">
        <is>
          <t>Week ending</t>
        </is>
      </c>
      <c r="C5" s="6">
        <f>Inputs!C9</f>
        <v/>
      </c>
      <c r="D5" s="6">
        <f>Inputs!C10</f>
        <v/>
      </c>
      <c r="E5" s="6">
        <f>Inputs!C11</f>
        <v/>
      </c>
      <c r="F5" s="6">
        <f>Inputs!C12</f>
        <v/>
      </c>
      <c r="G5" s="6">
        <f>Inputs!C13</f>
        <v/>
      </c>
      <c r="H5" s="6">
        <f>Inputs!C14</f>
        <v/>
      </c>
      <c r="I5" s="6">
        <f>Inputs!C15</f>
        <v/>
      </c>
      <c r="J5" s="6">
        <f>Inputs!C16</f>
        <v/>
      </c>
      <c r="K5" s="6">
        <f>Inputs!C17</f>
        <v/>
      </c>
      <c r="L5" s="6">
        <f>Inputs!C18</f>
        <v/>
      </c>
      <c r="M5" s="6">
        <f>Inputs!C19</f>
        <v/>
      </c>
      <c r="N5" s="6">
        <f>Inputs!C20</f>
        <v/>
      </c>
      <c r="O5" s="6">
        <f>Inputs!C21</f>
        <v/>
      </c>
    </row>
    <row r="6">
      <c r="A6" t="inlineStr">
        <is>
          <t>Opening cash</t>
        </is>
      </c>
      <c r="B6" s="7">
        <f>C6</f>
        <v/>
      </c>
      <c r="C6" s="7">
        <f>Inputs!$B$4</f>
        <v/>
      </c>
      <c r="D6" s="7">
        <f>C20</f>
        <v/>
      </c>
      <c r="E6" s="7">
        <f>D20</f>
        <v/>
      </c>
      <c r="F6" s="7">
        <f>E20</f>
        <v/>
      </c>
      <c r="G6" s="7">
        <f>F20</f>
        <v/>
      </c>
      <c r="H6" s="7">
        <f>G20</f>
        <v/>
      </c>
      <c r="I6" s="7">
        <f>H20</f>
        <v/>
      </c>
      <c r="J6" s="7">
        <f>I20</f>
        <v/>
      </c>
      <c r="K6" s="7">
        <f>J20</f>
        <v/>
      </c>
      <c r="L6" s="7">
        <f>K20</f>
        <v/>
      </c>
      <c r="M6" s="7">
        <f>L20</f>
        <v/>
      </c>
      <c r="N6" s="7">
        <f>M20</f>
        <v/>
      </c>
      <c r="O6" s="7">
        <f>N20</f>
        <v/>
      </c>
    </row>
    <row r="7">
      <c r="A7" t="inlineStr">
        <is>
          <t>Customer receipts</t>
        </is>
      </c>
      <c r="B7" s="7">
        <f>SUM(C7:O7)</f>
        <v/>
      </c>
      <c r="C7" s="7">
        <f>SUMIFS(AR!$E$5:$E$2000,AR!$H$5:$H$2000,1)</f>
        <v/>
      </c>
      <c r="D7" s="7">
        <f>SUMIFS(AR!$E$5:$E$2000,AR!$H$5:$H$2000,2)</f>
        <v/>
      </c>
      <c r="E7" s="7">
        <f>SUMIFS(AR!$E$5:$E$2000,AR!$H$5:$H$2000,3)</f>
        <v/>
      </c>
      <c r="F7" s="7">
        <f>SUMIFS(AR!$E$5:$E$2000,AR!$H$5:$H$2000,4)</f>
        <v/>
      </c>
      <c r="G7" s="7">
        <f>SUMIFS(AR!$E$5:$E$2000,AR!$H$5:$H$2000,5)</f>
        <v/>
      </c>
      <c r="H7" s="7">
        <f>SUMIFS(AR!$E$5:$E$2000,AR!$H$5:$H$2000,6)</f>
        <v/>
      </c>
      <c r="I7" s="7">
        <f>SUMIFS(AR!$E$5:$E$2000,AR!$H$5:$H$2000,7)</f>
        <v/>
      </c>
      <c r="J7" s="7">
        <f>SUMIFS(AR!$E$5:$E$2000,AR!$H$5:$H$2000,8)</f>
        <v/>
      </c>
      <c r="K7" s="7">
        <f>SUMIFS(AR!$E$5:$E$2000,AR!$H$5:$H$2000,9)</f>
        <v/>
      </c>
      <c r="L7" s="7">
        <f>SUMIFS(AR!$E$5:$E$2000,AR!$H$5:$H$2000,10)</f>
        <v/>
      </c>
      <c r="M7" s="7">
        <f>SUMIFS(AR!$E$5:$E$2000,AR!$H$5:$H$2000,11)</f>
        <v/>
      </c>
      <c r="N7" s="7">
        <f>SUMIFS(AR!$E$5:$E$2000,AR!$H$5:$H$2000,12)</f>
        <v/>
      </c>
      <c r="O7" s="7">
        <f>SUMIFS(AR!$E$5:$E$2000,AR!$H$5:$H$2000,13)</f>
        <v/>
      </c>
    </row>
    <row r="8">
      <c r="A8" t="inlineStr">
        <is>
          <t>Other receipts</t>
        </is>
      </c>
      <c r="B8" s="7">
        <f>SUM(C8:O8)</f>
        <v/>
      </c>
      <c r="C8" s="8" t="n">
        <v>0</v>
      </c>
      <c r="D8" s="8" t="n">
        <v>0</v>
      </c>
      <c r="E8" s="8" t="n">
        <v>0</v>
      </c>
      <c r="F8" s="8" t="n">
        <v>0</v>
      </c>
      <c r="G8" s="8" t="n">
        <v>0</v>
      </c>
      <c r="H8" s="8" t="n">
        <v>0</v>
      </c>
      <c r="I8" s="8" t="n">
        <v>0</v>
      </c>
      <c r="J8" s="8" t="n">
        <v>0</v>
      </c>
      <c r="K8" s="8" t="n">
        <v>0</v>
      </c>
      <c r="L8" s="8" t="n">
        <v>0</v>
      </c>
      <c r="M8" s="8" t="n">
        <v>0</v>
      </c>
      <c r="N8" s="8" t="n">
        <v>0</v>
      </c>
      <c r="O8" s="8" t="n">
        <v>0</v>
      </c>
    </row>
    <row r="9">
      <c r="A9" s="9" t="inlineStr">
        <is>
          <t>Total receipts</t>
        </is>
      </c>
      <c r="B9" s="10">
        <f>SUM(C9:O9)</f>
        <v/>
      </c>
      <c r="C9" s="10">
        <f>C7+C8</f>
        <v/>
      </c>
      <c r="D9" s="10">
        <f>D7+D8</f>
        <v/>
      </c>
      <c r="E9" s="10">
        <f>E7+E8</f>
        <v/>
      </c>
      <c r="F9" s="10">
        <f>F7+F8</f>
        <v/>
      </c>
      <c r="G9" s="10">
        <f>G7+G8</f>
        <v/>
      </c>
      <c r="H9" s="10">
        <f>H7+H8</f>
        <v/>
      </c>
      <c r="I9" s="10">
        <f>I7+I8</f>
        <v/>
      </c>
      <c r="J9" s="10">
        <f>J7+J8</f>
        <v/>
      </c>
      <c r="K9" s="10">
        <f>K7+K8</f>
        <v/>
      </c>
      <c r="L9" s="10">
        <f>L7+L8</f>
        <v/>
      </c>
      <c r="M9" s="10">
        <f>M7+M8</f>
        <v/>
      </c>
      <c r="N9" s="10">
        <f>N7+N8</f>
        <v/>
      </c>
      <c r="O9" s="10">
        <f>O7+O8</f>
        <v/>
      </c>
    </row>
    <row r="10">
      <c r="A10" t="inlineStr">
        <is>
          <t>Payroll</t>
        </is>
      </c>
      <c r="B10" s="7">
        <f>SUM(C10:O10)</f>
        <v/>
      </c>
      <c r="C10" s="7">
        <f>SUMIFS(Fixed!$D$5:$D$500,Fixed!$C$5:$C$500,"Payroll",Fixed!$E$5:$E$500,1)</f>
        <v/>
      </c>
      <c r="D10" s="7">
        <f>SUMIFS(Fixed!$D$5:$D$500,Fixed!$C$5:$C$500,"Payroll",Fixed!$E$5:$E$500,2)</f>
        <v/>
      </c>
      <c r="E10" s="7">
        <f>SUMIFS(Fixed!$D$5:$D$500,Fixed!$C$5:$C$500,"Payroll",Fixed!$E$5:$E$500,3)</f>
        <v/>
      </c>
      <c r="F10" s="7">
        <f>SUMIFS(Fixed!$D$5:$D$500,Fixed!$C$5:$C$500,"Payroll",Fixed!$E$5:$E$500,4)</f>
        <v/>
      </c>
      <c r="G10" s="7">
        <f>SUMIFS(Fixed!$D$5:$D$500,Fixed!$C$5:$C$500,"Payroll",Fixed!$E$5:$E$500,5)</f>
        <v/>
      </c>
      <c r="H10" s="7">
        <f>SUMIFS(Fixed!$D$5:$D$500,Fixed!$C$5:$C$500,"Payroll",Fixed!$E$5:$E$500,6)</f>
        <v/>
      </c>
      <c r="I10" s="7">
        <f>SUMIFS(Fixed!$D$5:$D$500,Fixed!$C$5:$C$500,"Payroll",Fixed!$E$5:$E$500,7)</f>
        <v/>
      </c>
      <c r="J10" s="7">
        <f>SUMIFS(Fixed!$D$5:$D$500,Fixed!$C$5:$C$500,"Payroll",Fixed!$E$5:$E$500,8)</f>
        <v/>
      </c>
      <c r="K10" s="7">
        <f>SUMIFS(Fixed!$D$5:$D$500,Fixed!$C$5:$C$500,"Payroll",Fixed!$E$5:$E$500,9)</f>
        <v/>
      </c>
      <c r="L10" s="7">
        <f>SUMIFS(Fixed!$D$5:$D$500,Fixed!$C$5:$C$500,"Payroll",Fixed!$E$5:$E$500,10)</f>
        <v/>
      </c>
      <c r="M10" s="7">
        <f>SUMIFS(Fixed!$D$5:$D$500,Fixed!$C$5:$C$500,"Payroll",Fixed!$E$5:$E$500,11)</f>
        <v/>
      </c>
      <c r="N10" s="7">
        <f>SUMIFS(Fixed!$D$5:$D$500,Fixed!$C$5:$C$500,"Payroll",Fixed!$E$5:$E$500,12)</f>
        <v/>
      </c>
      <c r="O10" s="7">
        <f>SUMIFS(Fixed!$D$5:$D$500,Fixed!$C$5:$C$500,"Payroll",Fixed!$E$5:$E$500,13)</f>
        <v/>
      </c>
    </row>
    <row r="11">
      <c r="A11" t="inlineStr">
        <is>
          <t>Suppliers</t>
        </is>
      </c>
      <c r="B11" s="7">
        <f>SUM(C11:O11)</f>
        <v/>
      </c>
      <c r="C11" s="7">
        <f>SUMIFS(AP!$F$5:$F$2000,AP!$G$5:$G$2000,1)</f>
        <v/>
      </c>
      <c r="D11" s="7">
        <f>SUMIFS(AP!$F$5:$F$2000,AP!$G$5:$G$2000,2)</f>
        <v/>
      </c>
      <c r="E11" s="7">
        <f>SUMIFS(AP!$F$5:$F$2000,AP!$G$5:$G$2000,3)</f>
        <v/>
      </c>
      <c r="F11" s="7">
        <f>SUMIFS(AP!$F$5:$F$2000,AP!$G$5:$G$2000,4)</f>
        <v/>
      </c>
      <c r="G11" s="7">
        <f>SUMIFS(AP!$F$5:$F$2000,AP!$G$5:$G$2000,5)</f>
        <v/>
      </c>
      <c r="H11" s="7">
        <f>SUMIFS(AP!$F$5:$F$2000,AP!$G$5:$G$2000,6)</f>
        <v/>
      </c>
      <c r="I11" s="7">
        <f>SUMIFS(AP!$F$5:$F$2000,AP!$G$5:$G$2000,7)</f>
        <v/>
      </c>
      <c r="J11" s="7">
        <f>SUMIFS(AP!$F$5:$F$2000,AP!$G$5:$G$2000,8)</f>
        <v/>
      </c>
      <c r="K11" s="7">
        <f>SUMIFS(AP!$F$5:$F$2000,AP!$G$5:$G$2000,9)</f>
        <v/>
      </c>
      <c r="L11" s="7">
        <f>SUMIFS(AP!$F$5:$F$2000,AP!$G$5:$G$2000,10)</f>
        <v/>
      </c>
      <c r="M11" s="7">
        <f>SUMIFS(AP!$F$5:$F$2000,AP!$G$5:$G$2000,11)</f>
        <v/>
      </c>
      <c r="N11" s="7">
        <f>SUMIFS(AP!$F$5:$F$2000,AP!$G$5:$G$2000,12)</f>
        <v/>
      </c>
      <c r="O11" s="7">
        <f>SUMIFS(AP!$F$5:$F$2000,AP!$G$5:$G$2000,13)</f>
        <v/>
      </c>
    </row>
    <row r="12">
      <c r="A12" t="inlineStr">
        <is>
          <t>Other opex</t>
        </is>
      </c>
      <c r="B12" s="7">
        <f>SUM(C12:O12)</f>
        <v/>
      </c>
      <c r="C12" s="7">
        <f>SUMIFS(Fixed!$D$5:$D$500,Fixed!$C$5:$C$500,"Other opex",Fixed!$E$5:$E$500,1)</f>
        <v/>
      </c>
      <c r="D12" s="7">
        <f>SUMIFS(Fixed!$D$5:$D$500,Fixed!$C$5:$C$500,"Other opex",Fixed!$E$5:$E$500,2)</f>
        <v/>
      </c>
      <c r="E12" s="7">
        <f>SUMIFS(Fixed!$D$5:$D$500,Fixed!$C$5:$C$500,"Other opex",Fixed!$E$5:$E$500,3)</f>
        <v/>
      </c>
      <c r="F12" s="7">
        <f>SUMIFS(Fixed!$D$5:$D$500,Fixed!$C$5:$C$500,"Other opex",Fixed!$E$5:$E$500,4)</f>
        <v/>
      </c>
      <c r="G12" s="7">
        <f>SUMIFS(Fixed!$D$5:$D$500,Fixed!$C$5:$C$500,"Other opex",Fixed!$E$5:$E$500,5)</f>
        <v/>
      </c>
      <c r="H12" s="7">
        <f>SUMIFS(Fixed!$D$5:$D$500,Fixed!$C$5:$C$500,"Other opex",Fixed!$E$5:$E$500,6)</f>
        <v/>
      </c>
      <c r="I12" s="7">
        <f>SUMIFS(Fixed!$D$5:$D$500,Fixed!$C$5:$C$500,"Other opex",Fixed!$E$5:$E$500,7)</f>
        <v/>
      </c>
      <c r="J12" s="7">
        <f>SUMIFS(Fixed!$D$5:$D$500,Fixed!$C$5:$C$500,"Other opex",Fixed!$E$5:$E$500,8)</f>
        <v/>
      </c>
      <c r="K12" s="7">
        <f>SUMIFS(Fixed!$D$5:$D$500,Fixed!$C$5:$C$500,"Other opex",Fixed!$E$5:$E$500,9)</f>
        <v/>
      </c>
      <c r="L12" s="7">
        <f>SUMIFS(Fixed!$D$5:$D$500,Fixed!$C$5:$C$500,"Other opex",Fixed!$E$5:$E$500,10)</f>
        <v/>
      </c>
      <c r="M12" s="7">
        <f>SUMIFS(Fixed!$D$5:$D$500,Fixed!$C$5:$C$500,"Other opex",Fixed!$E$5:$E$500,11)</f>
        <v/>
      </c>
      <c r="N12" s="7">
        <f>SUMIFS(Fixed!$D$5:$D$500,Fixed!$C$5:$C$500,"Other opex",Fixed!$E$5:$E$500,12)</f>
        <v/>
      </c>
      <c r="O12" s="7">
        <f>SUMIFS(Fixed!$D$5:$D$500,Fixed!$C$5:$C$500,"Other opex",Fixed!$E$5:$E$500,13)</f>
        <v/>
      </c>
    </row>
    <row r="13">
      <c r="A13" t="inlineStr">
        <is>
          <t>Tax and debt service</t>
        </is>
      </c>
      <c r="B13" s="7">
        <f>SUM(C13:O13)</f>
        <v/>
      </c>
      <c r="C13" s="7">
        <f>SUMIFS(Fixed!$D$5:$D$500,Fixed!$C$5:$C$500,"Tax and debt service",Fixed!$E$5:$E$500,1)</f>
        <v/>
      </c>
      <c r="D13" s="7">
        <f>SUMIFS(Fixed!$D$5:$D$500,Fixed!$C$5:$C$500,"Tax and debt service",Fixed!$E$5:$E$500,2)</f>
        <v/>
      </c>
      <c r="E13" s="7">
        <f>SUMIFS(Fixed!$D$5:$D$500,Fixed!$C$5:$C$500,"Tax and debt service",Fixed!$E$5:$E$500,3)</f>
        <v/>
      </c>
      <c r="F13" s="7">
        <f>SUMIFS(Fixed!$D$5:$D$500,Fixed!$C$5:$C$500,"Tax and debt service",Fixed!$E$5:$E$500,4)</f>
        <v/>
      </c>
      <c r="G13" s="7">
        <f>SUMIFS(Fixed!$D$5:$D$500,Fixed!$C$5:$C$500,"Tax and debt service",Fixed!$E$5:$E$500,5)</f>
        <v/>
      </c>
      <c r="H13" s="7">
        <f>SUMIFS(Fixed!$D$5:$D$500,Fixed!$C$5:$C$500,"Tax and debt service",Fixed!$E$5:$E$500,6)</f>
        <v/>
      </c>
      <c r="I13" s="7">
        <f>SUMIFS(Fixed!$D$5:$D$500,Fixed!$C$5:$C$500,"Tax and debt service",Fixed!$E$5:$E$500,7)</f>
        <v/>
      </c>
      <c r="J13" s="7">
        <f>SUMIFS(Fixed!$D$5:$D$500,Fixed!$C$5:$C$500,"Tax and debt service",Fixed!$E$5:$E$500,8)</f>
        <v/>
      </c>
      <c r="K13" s="7">
        <f>SUMIFS(Fixed!$D$5:$D$500,Fixed!$C$5:$C$500,"Tax and debt service",Fixed!$E$5:$E$500,9)</f>
        <v/>
      </c>
      <c r="L13" s="7">
        <f>SUMIFS(Fixed!$D$5:$D$500,Fixed!$C$5:$C$500,"Tax and debt service",Fixed!$E$5:$E$500,10)</f>
        <v/>
      </c>
      <c r="M13" s="7">
        <f>SUMIFS(Fixed!$D$5:$D$500,Fixed!$C$5:$C$500,"Tax and debt service",Fixed!$E$5:$E$500,11)</f>
        <v/>
      </c>
      <c r="N13" s="7">
        <f>SUMIFS(Fixed!$D$5:$D$500,Fixed!$C$5:$C$500,"Tax and debt service",Fixed!$E$5:$E$500,12)</f>
        <v/>
      </c>
      <c r="O13" s="7">
        <f>SUMIFS(Fixed!$D$5:$D$500,Fixed!$C$5:$C$500,"Tax and debt service",Fixed!$E$5:$E$500,13)</f>
        <v/>
      </c>
    </row>
    <row r="14">
      <c r="A14" s="9" t="inlineStr">
        <is>
          <t>Total disbursements</t>
        </is>
      </c>
      <c r="B14" s="10">
        <f>SUM(C14:O14)</f>
        <v/>
      </c>
      <c r="C14" s="10">
        <f>SUM(C10:C13)</f>
        <v/>
      </c>
      <c r="D14" s="10">
        <f>SUM(D10:D13)</f>
        <v/>
      </c>
      <c r="E14" s="10">
        <f>SUM(E10:E13)</f>
        <v/>
      </c>
      <c r="F14" s="10">
        <f>SUM(F10:F13)</f>
        <v/>
      </c>
      <c r="G14" s="10">
        <f>SUM(G10:G13)</f>
        <v/>
      </c>
      <c r="H14" s="10">
        <f>SUM(H10:H13)</f>
        <v/>
      </c>
      <c r="I14" s="10">
        <f>SUM(I10:I13)</f>
        <v/>
      </c>
      <c r="J14" s="10">
        <f>SUM(J10:J13)</f>
        <v/>
      </c>
      <c r="K14" s="10">
        <f>SUM(K10:K13)</f>
        <v/>
      </c>
      <c r="L14" s="10">
        <f>SUM(L10:L13)</f>
        <v/>
      </c>
      <c r="M14" s="10">
        <f>SUM(M10:M13)</f>
        <v/>
      </c>
      <c r="N14" s="10">
        <f>SUM(N10:N13)</f>
        <v/>
      </c>
      <c r="O14" s="10">
        <f>SUM(O10:O13)</f>
        <v/>
      </c>
    </row>
    <row r="15">
      <c r="A15" s="9" t="inlineStr">
        <is>
          <t>Net cash flow</t>
        </is>
      </c>
      <c r="B15" s="10">
        <f>SUM(C15:O15)</f>
        <v/>
      </c>
      <c r="C15" s="10">
        <f>C9-C14</f>
        <v/>
      </c>
      <c r="D15" s="10">
        <f>D9-D14</f>
        <v/>
      </c>
      <c r="E15" s="10">
        <f>E9-E14</f>
        <v/>
      </c>
      <c r="F15" s="10">
        <f>F9-F14</f>
        <v/>
      </c>
      <c r="G15" s="10">
        <f>G9-G14</f>
        <v/>
      </c>
      <c r="H15" s="10">
        <f>H9-H14</f>
        <v/>
      </c>
      <c r="I15" s="10">
        <f>I9-I14</f>
        <v/>
      </c>
      <c r="J15" s="10">
        <f>J9-J14</f>
        <v/>
      </c>
      <c r="K15" s="10">
        <f>K9-K14</f>
        <v/>
      </c>
      <c r="L15" s="10">
        <f>L9-L14</f>
        <v/>
      </c>
      <c r="M15" s="10">
        <f>M9-M14</f>
        <v/>
      </c>
      <c r="N15" s="10">
        <f>N9-N14</f>
        <v/>
      </c>
      <c r="O15" s="10">
        <f>O9-O14</f>
        <v/>
      </c>
    </row>
    <row r="16">
      <c r="A16" t="inlineStr">
        <is>
          <t>Closing cash before funding</t>
        </is>
      </c>
      <c r="B16" s="7">
        <f>O16</f>
        <v/>
      </c>
      <c r="C16" s="7">
        <f>C6+C15</f>
        <v/>
      </c>
      <c r="D16" s="7">
        <f>D6+D15</f>
        <v/>
      </c>
      <c r="E16" s="7">
        <f>E6+E15</f>
        <v/>
      </c>
      <c r="F16" s="7">
        <f>F6+F15</f>
        <v/>
      </c>
      <c r="G16" s="7">
        <f>G6+G15</f>
        <v/>
      </c>
      <c r="H16" s="7">
        <f>H6+H15</f>
        <v/>
      </c>
      <c r="I16" s="7">
        <f>I6+I15</f>
        <v/>
      </c>
      <c r="J16" s="7">
        <f>J6+J15</f>
        <v/>
      </c>
      <c r="K16" s="7">
        <f>K6+K15</f>
        <v/>
      </c>
      <c r="L16" s="7">
        <f>L6+L15</f>
        <v/>
      </c>
      <c r="M16" s="7">
        <f>M6+M15</f>
        <v/>
      </c>
      <c r="N16" s="7">
        <f>N6+N15</f>
        <v/>
      </c>
      <c r="O16" s="7">
        <f>O6+O15</f>
        <v/>
      </c>
    </row>
    <row r="17">
      <c r="A17" t="inlineStr">
        <is>
          <t>Draw needed to hold minimum (Total = largest)</t>
        </is>
      </c>
      <c r="B17" s="7">
        <f>MAX(C17:O17)</f>
        <v/>
      </c>
      <c r="C17" s="7">
        <f>MAX(0,Inputs!$B$5-C16)</f>
        <v/>
      </c>
      <c r="D17" s="7">
        <f>MAX(0,Inputs!$B$5-D16)</f>
        <v/>
      </c>
      <c r="E17" s="7">
        <f>MAX(0,Inputs!$B$5-E16)</f>
        <v/>
      </c>
      <c r="F17" s="7">
        <f>MAX(0,Inputs!$B$5-F16)</f>
        <v/>
      </c>
      <c r="G17" s="7">
        <f>MAX(0,Inputs!$B$5-G16)</f>
        <v/>
      </c>
      <c r="H17" s="7">
        <f>MAX(0,Inputs!$B$5-H16)</f>
        <v/>
      </c>
      <c r="I17" s="7">
        <f>MAX(0,Inputs!$B$5-I16)</f>
        <v/>
      </c>
      <c r="J17" s="7">
        <f>MAX(0,Inputs!$B$5-J16)</f>
        <v/>
      </c>
      <c r="K17" s="7">
        <f>MAX(0,Inputs!$B$5-K16)</f>
        <v/>
      </c>
      <c r="L17" s="7">
        <f>MAX(0,Inputs!$B$5-L16)</f>
        <v/>
      </c>
      <c r="M17" s="7">
        <f>MAX(0,Inputs!$B$5-M16)</f>
        <v/>
      </c>
      <c r="N17" s="7">
        <f>MAX(0,Inputs!$B$5-N16)</f>
        <v/>
      </c>
      <c r="O17" s="7">
        <f>MAX(0,Inputs!$B$5-O16)</f>
        <v/>
      </c>
    </row>
    <row r="18">
      <c r="A18" t="inlineStr">
        <is>
          <t>Revolver draw</t>
        </is>
      </c>
      <c r="B18" s="7">
        <f>SUM(C18:O18)</f>
        <v/>
      </c>
      <c r="C18" s="8" t="n">
        <v>0</v>
      </c>
      <c r="D18" s="8" t="n">
        <v>0</v>
      </c>
      <c r="E18" s="8" t="n">
        <v>0</v>
      </c>
      <c r="F18" s="8" t="n">
        <v>0</v>
      </c>
      <c r="G18" s="8" t="n">
        <v>0</v>
      </c>
      <c r="H18" s="8" t="n">
        <v>150000</v>
      </c>
      <c r="I18" s="8" t="n">
        <v>0</v>
      </c>
      <c r="J18" s="8" t="n">
        <v>0</v>
      </c>
      <c r="K18" s="8" t="n">
        <v>0</v>
      </c>
      <c r="L18" s="8" t="n">
        <v>0</v>
      </c>
      <c r="M18" s="8" t="n">
        <v>0</v>
      </c>
      <c r="N18" s="8" t="n">
        <v>0</v>
      </c>
      <c r="O18" s="8" t="n">
        <v>0</v>
      </c>
    </row>
    <row r="19">
      <c r="A19" t="inlineStr">
        <is>
          <t>Revolver repayment</t>
        </is>
      </c>
      <c r="B19" s="7">
        <f>SUM(C19:O19)</f>
        <v/>
      </c>
      <c r="C19" s="8" t="n">
        <v>0</v>
      </c>
      <c r="D19" s="8" t="n">
        <v>0</v>
      </c>
      <c r="E19" s="8" t="n">
        <v>0</v>
      </c>
      <c r="F19" s="8" t="n">
        <v>0</v>
      </c>
      <c r="G19" s="8" t="n">
        <v>0</v>
      </c>
      <c r="H19" s="8" t="n">
        <v>0</v>
      </c>
      <c r="I19" s="8" t="n">
        <v>0</v>
      </c>
      <c r="J19" s="8" t="n">
        <v>0</v>
      </c>
      <c r="K19" s="8" t="n">
        <v>0</v>
      </c>
      <c r="L19" s="8" t="n">
        <v>0</v>
      </c>
      <c r="M19" s="8" t="n">
        <v>0</v>
      </c>
      <c r="N19" s="8" t="n">
        <v>0</v>
      </c>
      <c r="O19" s="8" t="n">
        <v>0</v>
      </c>
    </row>
    <row r="20">
      <c r="A20" s="9" t="inlineStr">
        <is>
          <t>Closing cash</t>
        </is>
      </c>
      <c r="B20" s="10">
        <f>O20</f>
        <v/>
      </c>
      <c r="C20" s="10">
        <f>C16+C18-C19</f>
        <v/>
      </c>
      <c r="D20" s="10">
        <f>D16+D18-D19</f>
        <v/>
      </c>
      <c r="E20" s="10">
        <f>E16+E18-E19</f>
        <v/>
      </c>
      <c r="F20" s="10">
        <f>F16+F18-F19</f>
        <v/>
      </c>
      <c r="G20" s="10">
        <f>G16+G18-G19</f>
        <v/>
      </c>
      <c r="H20" s="10">
        <f>H16+H18-H19</f>
        <v/>
      </c>
      <c r="I20" s="10">
        <f>I16+I18-I19</f>
        <v/>
      </c>
      <c r="J20" s="10">
        <f>J16+J18-J19</f>
        <v/>
      </c>
      <c r="K20" s="10">
        <f>K16+K18-K19</f>
        <v/>
      </c>
      <c r="L20" s="10">
        <f>L16+L18-L19</f>
        <v/>
      </c>
      <c r="M20" s="10">
        <f>M16+M18-M19</f>
        <v/>
      </c>
      <c r="N20" s="10">
        <f>N16+N18-N19</f>
        <v/>
      </c>
      <c r="O20" s="10">
        <f>O16+O18-O19</f>
        <v/>
      </c>
    </row>
    <row r="21">
      <c r="A21" t="inlineStr">
        <is>
          <t>Headroom over minimum (Total = lowest week)</t>
        </is>
      </c>
      <c r="B21" s="7">
        <f>MIN(C21:O21)</f>
        <v/>
      </c>
      <c r="C21" s="7">
        <f>C20-Inputs!$B$5</f>
        <v/>
      </c>
      <c r="D21" s="7">
        <f>D20-Inputs!$B$5</f>
        <v/>
      </c>
      <c r="E21" s="7">
        <f>E20-Inputs!$B$5</f>
        <v/>
      </c>
      <c r="F21" s="7">
        <f>F20-Inputs!$B$5</f>
        <v/>
      </c>
      <c r="G21" s="7">
        <f>G20-Inputs!$B$5</f>
        <v/>
      </c>
      <c r="H21" s="7">
        <f>H20-Inputs!$B$5</f>
        <v/>
      </c>
      <c r="I21" s="7">
        <f>I20-Inputs!$B$5</f>
        <v/>
      </c>
      <c r="J21" s="7">
        <f>J20-Inputs!$B$5</f>
        <v/>
      </c>
      <c r="K21" s="7">
        <f>K20-Inputs!$B$5</f>
        <v/>
      </c>
      <c r="L21" s="7">
        <f>L20-Inputs!$B$5</f>
        <v/>
      </c>
      <c r="M21" s="7">
        <f>M20-Inputs!$B$5</f>
        <v/>
      </c>
      <c r="N21" s="7">
        <f>N20-Inputs!$B$5</f>
        <v/>
      </c>
      <c r="O21" s="7">
        <f>O20-Inputs!$B$5</f>
        <v/>
      </c>
    </row>
    <row r="22">
      <c r="A22" t="inlineStr">
        <is>
          <t>Revolver available</t>
        </is>
      </c>
      <c r="B22" s="7">
        <f>O22</f>
        <v/>
      </c>
      <c r="C22" s="7">
        <f>Inputs!$B$6-SUM($C18:C18)+SUM($C19:C19)</f>
        <v/>
      </c>
      <c r="D22" s="7">
        <f>Inputs!$B$6-SUM($C18:D18)+SUM($C19:D19)</f>
        <v/>
      </c>
      <c r="E22" s="7">
        <f>Inputs!$B$6-SUM($C18:E18)+SUM($C19:E19)</f>
        <v/>
      </c>
      <c r="F22" s="7">
        <f>Inputs!$B$6-SUM($C18:F18)+SUM($C19:F19)</f>
        <v/>
      </c>
      <c r="G22" s="7">
        <f>Inputs!$B$6-SUM($C18:G18)+SUM($C19:G19)</f>
        <v/>
      </c>
      <c r="H22" s="7">
        <f>Inputs!$B$6-SUM($C18:H18)+SUM($C19:H19)</f>
        <v/>
      </c>
      <c r="I22" s="7">
        <f>Inputs!$B$6-SUM($C18:I18)+SUM($C19:I19)</f>
        <v/>
      </c>
      <c r="J22" s="7">
        <f>Inputs!$B$6-SUM($C18:J18)+SUM($C19:J19)</f>
        <v/>
      </c>
      <c r="K22" s="7">
        <f>Inputs!$B$6-SUM($C18:K18)+SUM($C19:K19)</f>
        <v/>
      </c>
      <c r="L22" s="7">
        <f>Inputs!$B$6-SUM($C18:L18)+SUM($C19:L19)</f>
        <v/>
      </c>
      <c r="M22" s="7">
        <f>Inputs!$B$6-SUM($C18:M18)+SUM($C19:M19)</f>
        <v/>
      </c>
      <c r="N22" s="7">
        <f>Inputs!$B$6-SUM($C18:N18)+SUM($C19:N19)</f>
        <v/>
      </c>
      <c r="O22" s="7">
        <f>Inputs!$B$6-SUM($C18:O18)+SUM($C19:O19)</f>
        <v/>
      </c>
    </row>
    <row r="23">
      <c r="A23" t="inlineStr">
        <is>
          <t>Closing cash with no revolver activity</t>
        </is>
      </c>
      <c r="B23" s="7">
        <f>O23</f>
        <v/>
      </c>
      <c r="C23" s="7">
        <f>Inputs!$B$4+SUM($C15:C15)</f>
        <v/>
      </c>
      <c r="D23" s="7">
        <f>Inputs!$B$4+SUM($C15:D15)</f>
        <v/>
      </c>
      <c r="E23" s="7">
        <f>Inputs!$B$4+SUM($C15:E15)</f>
        <v/>
      </c>
      <c r="F23" s="7">
        <f>Inputs!$B$4+SUM($C15:F15)</f>
        <v/>
      </c>
      <c r="G23" s="7">
        <f>Inputs!$B$4+SUM($C15:G15)</f>
        <v/>
      </c>
      <c r="H23" s="7">
        <f>Inputs!$B$4+SUM($C15:H15)</f>
        <v/>
      </c>
      <c r="I23" s="7">
        <f>Inputs!$B$4+SUM($C15:I15)</f>
        <v/>
      </c>
      <c r="J23" s="7">
        <f>Inputs!$B$4+SUM($C15:J15)</f>
        <v/>
      </c>
      <c r="K23" s="7">
        <f>Inputs!$B$4+SUM($C15:K15)</f>
        <v/>
      </c>
      <c r="L23" s="7">
        <f>Inputs!$B$4+SUM($C15:L15)</f>
        <v/>
      </c>
      <c r="M23" s="7">
        <f>Inputs!$B$4+SUM($C15:M15)</f>
        <v/>
      </c>
      <c r="N23" s="7">
        <f>Inputs!$B$4+SUM($C15:N15)</f>
        <v/>
      </c>
      <c r="O23" s="7">
        <f>Inputs!$B$4+SUM($C15:O15)</f>
        <v/>
      </c>
    </row>
    <row r="24">
      <c r="A24" t="inlineStr">
        <is>
          <t>Below minimum before funding (1 = yes)</t>
        </is>
      </c>
      <c r="B24">
        <f>SUM(C24:O24)</f>
        <v/>
      </c>
      <c r="C24">
        <f>IF(C16&lt;Inputs!$B$5,1,0)</f>
        <v/>
      </c>
      <c r="D24">
        <f>IF(D16&lt;Inputs!$B$5,1,0)</f>
        <v/>
      </c>
      <c r="E24">
        <f>IF(E16&lt;Inputs!$B$5,1,0)</f>
        <v/>
      </c>
      <c r="F24">
        <f>IF(F16&lt;Inputs!$B$5,1,0)</f>
        <v/>
      </c>
      <c r="G24">
        <f>IF(G16&lt;Inputs!$B$5,1,0)</f>
        <v/>
      </c>
      <c r="H24">
        <f>IF(H16&lt;Inputs!$B$5,1,0)</f>
        <v/>
      </c>
      <c r="I24">
        <f>IF(I16&lt;Inputs!$B$5,1,0)</f>
        <v/>
      </c>
      <c r="J24">
        <f>IF(J16&lt;Inputs!$B$5,1,0)</f>
        <v/>
      </c>
      <c r="K24">
        <f>IF(K16&lt;Inputs!$B$5,1,0)</f>
        <v/>
      </c>
      <c r="L24">
        <f>IF(L16&lt;Inputs!$B$5,1,0)</f>
        <v/>
      </c>
      <c r="M24">
        <f>IF(M16&lt;Inputs!$B$5,1,0)</f>
        <v/>
      </c>
      <c r="N24">
        <f>IF(N16&lt;Inputs!$B$5,1,0)</f>
        <v/>
      </c>
      <c r="O24">
        <f>IF(O16&lt;Inputs!$B$5,1,0)</f>
        <v/>
      </c>
    </row>
    <row r="26">
      <c r="A26" t="inlineStr">
        <is>
          <t>Lowest closing cash (after funding)</t>
        </is>
      </c>
      <c r="B26" s="7">
        <f>MIN(C20:O20)</f>
        <v/>
      </c>
    </row>
    <row r="27">
      <c r="A27" t="inlineStr">
        <is>
          <t>Week of the lowest closing cash</t>
        </is>
      </c>
      <c r="B27">
        <f>MATCH(B26,C20:O20,0)</f>
        <v/>
      </c>
    </row>
    <row r="28">
      <c r="A28" t="inlineStr">
        <is>
          <t>First week below minimum before funding (0 = none)</t>
        </is>
      </c>
      <c r="B28">
        <f>IFERROR(MATCH(1,C24:O24,0),0)</f>
        <v/>
      </c>
    </row>
    <row r="30">
      <c r="A30" s="11" t="inlineStr">
        <is>
          <t>Checks (must be 0)</t>
        </is>
      </c>
    </row>
    <row r="31">
      <c r="A31" t="inlineStr">
        <is>
          <t>Week 1 opening cash - bank balance on Inputs</t>
        </is>
      </c>
      <c r="B31" s="7">
        <f>C6-Inputs!$B$4</f>
        <v/>
      </c>
    </row>
    <row r="32">
      <c r="A32" t="inlineStr">
        <is>
          <t>Week 13 closing - (opening + receipts - disbursements + draws - repayments)</t>
        </is>
      </c>
      <c r="B32" s="7">
        <f>O20-(C6+B9-B14+B18-B19)</f>
        <v/>
      </c>
    </row>
    <row r="33">
      <c r="A33" t="inlineStr">
        <is>
          <t>Open AR not placed in a week or Later</t>
        </is>
      </c>
      <c r="B33" s="7">
        <f>ROUND(SUM(AR!$E$5:$E$2000)-B7-SUMIFS(AR!$E$5:$E$2000,AR!$H$5:$H$2000,"Later"),2)</f>
        <v/>
      </c>
    </row>
    <row r="34">
      <c r="A34" t="inlineStr">
        <is>
          <t>Fixed rows with a line the forecast does not read</t>
        </is>
      </c>
      <c r="B34">
        <f>COUNTIFS(Fixed!$D$5:$D$500,"&gt;0")-COUNTIFS(Fixed!$C$5:$C$500,"Payroll")-COUNTIFS(Fixed!$C$5:$C$500,"Other opex")-COUNTIFS(Fixed!$C$5:$C$500,"Tax and debt service")</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 width="11" customWidth="1" min="5" max="5"/>
  </cols>
  <sheetData>
    <row r="1">
      <c r="A1" s="1" t="inlineStr">
        <is>
          <t>Last week: forecast against actual</t>
        </is>
      </c>
    </row>
    <row r="2">
      <c r="A2" s="3" t="inlineStr">
        <is>
          <t>Type the forecast you made for the finished week and its actuals from the bank. Variance = actual - forecast.</t>
        </is>
      </c>
    </row>
    <row r="3">
      <c r="A3" t="inlineStr">
        <is>
          <t>Week ending</t>
        </is>
      </c>
      <c r="B3" s="12" t="n">
        <v>46299</v>
      </c>
    </row>
    <row r="5">
      <c r="A5" s="4" t="inlineStr">
        <is>
          <t>Line</t>
        </is>
      </c>
      <c r="B5" s="4" t="inlineStr">
        <is>
          <t>Forecast</t>
        </is>
      </c>
      <c r="C5" s="4" t="inlineStr">
        <is>
          <t>Actual</t>
        </is>
      </c>
      <c r="D5" s="4" t="inlineStr">
        <is>
          <t>Variance</t>
        </is>
      </c>
      <c r="E5" s="4" t="inlineStr">
        <is>
          <t>Accuracy</t>
        </is>
      </c>
    </row>
    <row r="6">
      <c r="A6" t="inlineStr">
        <is>
          <t>Opening cash</t>
        </is>
      </c>
      <c r="B6" s="8" t="n">
        <v>438500</v>
      </c>
      <c r="C6" s="8" t="n">
        <v>438500</v>
      </c>
      <c r="D6" s="7">
        <f>C6-B6</f>
        <v/>
      </c>
      <c r="E6" s="13" t="n"/>
    </row>
    <row r="7">
      <c r="A7" t="inlineStr">
        <is>
          <t>Customer receipts</t>
        </is>
      </c>
      <c r="B7" s="8" t="n">
        <v>290000</v>
      </c>
      <c r="C7" s="8" t="n">
        <v>262000</v>
      </c>
      <c r="D7" s="7">
        <f>C7-B7</f>
        <v/>
      </c>
      <c r="E7" s="13">
        <f>IF(C7=0,"",1-ABS(C7-B7)/ABS(C7))</f>
        <v/>
      </c>
    </row>
    <row r="8">
      <c r="A8" t="inlineStr">
        <is>
          <t>Other receipts</t>
        </is>
      </c>
      <c r="B8" s="8" t="n">
        <v>0</v>
      </c>
      <c r="C8" s="8" t="n">
        <v>0</v>
      </c>
      <c r="D8" s="7">
        <f>C8-B8</f>
        <v/>
      </c>
      <c r="E8" s="13">
        <f>IF(C8=0,"",1-ABS(C8-B8)/ABS(C8))</f>
        <v/>
      </c>
    </row>
    <row r="9">
      <c r="A9" t="inlineStr">
        <is>
          <t>Payroll</t>
        </is>
      </c>
      <c r="B9" s="8" t="n">
        <v>0</v>
      </c>
      <c r="C9" s="8" t="n">
        <v>0</v>
      </c>
      <c r="D9" s="7">
        <f>C9-B9</f>
        <v/>
      </c>
      <c r="E9" s="13">
        <f>IF(C9=0,"",1-ABS(C9-B9)/ABS(C9))</f>
        <v/>
      </c>
    </row>
    <row r="10">
      <c r="A10" t="inlineStr">
        <is>
          <t>Suppliers</t>
        </is>
      </c>
      <c r="B10" s="8" t="n">
        <v>210000</v>
      </c>
      <c r="C10" s="8" t="n">
        <v>214000</v>
      </c>
      <c r="D10" s="7">
        <f>C10-B10</f>
        <v/>
      </c>
      <c r="E10" s="13">
        <f>IF(C10=0,"",1-ABS(C10-B10)/ABS(C10))</f>
        <v/>
      </c>
    </row>
    <row r="11">
      <c r="A11" t="inlineStr">
        <is>
          <t>Other opex</t>
        </is>
      </c>
      <c r="B11" s="8" t="n">
        <v>38000</v>
      </c>
      <c r="C11" s="8" t="n">
        <v>36500</v>
      </c>
      <c r="D11" s="7">
        <f>C11-B11</f>
        <v/>
      </c>
      <c r="E11" s="13">
        <f>IF(C11=0,"",1-ABS(C11-B11)/ABS(C11))</f>
        <v/>
      </c>
    </row>
    <row r="12">
      <c r="A12" t="inlineStr">
        <is>
          <t>Tax and debt service</t>
        </is>
      </c>
      <c r="B12" s="8" t="n">
        <v>0</v>
      </c>
      <c r="C12" s="8" t="n">
        <v>0</v>
      </c>
      <c r="D12" s="7">
        <f>C12-B12</f>
        <v/>
      </c>
      <c r="E12" s="13">
        <f>IF(C12=0,"",1-ABS(C12-B12)/ABS(C12))</f>
        <v/>
      </c>
    </row>
    <row r="13">
      <c r="A13" s="9" t="inlineStr">
        <is>
          <t>Net cash flow</t>
        </is>
      </c>
      <c r="B13" s="10">
        <f>B7+B8-SUM(B9:B12)</f>
        <v/>
      </c>
      <c r="C13" s="10">
        <f>C7+C8-SUM(C9:C12)</f>
        <v/>
      </c>
      <c r="D13" s="10">
        <f>C13-B13</f>
        <v/>
      </c>
      <c r="E13" s="14" t="n"/>
    </row>
    <row r="14">
      <c r="A14" s="9" t="inlineStr">
        <is>
          <t>Closing cash</t>
        </is>
      </c>
      <c r="B14" s="10">
        <f>B6+B13</f>
        <v/>
      </c>
      <c r="C14" s="10">
        <f>C6+C13</f>
        <v/>
      </c>
      <c r="D14" s="10">
        <f>C14-B14</f>
        <v/>
      </c>
      <c r="E14" s="14">
        <f>IF(C14=0,"",1-ABS(C14-B14)/ABS(C14))</f>
        <v/>
      </c>
    </row>
    <row r="16">
      <c r="A16" t="inlineStr">
        <is>
          <t>Actual closing cash - week 1 opening cash on Inputs (must be 0)</t>
        </is>
      </c>
      <c r="D16" s="7">
        <f>C14-Inputs!$B$4</f>
        <v/>
      </c>
    </row>
    <row r="18">
      <c r="A18" s="3" t="inlineStr">
        <is>
          <t>Accuracy = 1 - |actual - forecast| / actual. Receipts accuracy is the number to watch; keep a row per week to see its trend and bias.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Inputs</t>
        </is>
      </c>
    </row>
    <row r="2">
      <c r="A2" s="3" t="inlineStr">
        <is>
          <t>USD. Change the yellow cells; the week dates fill themselves.</t>
        </is>
      </c>
    </row>
    <row r="3">
      <c r="A3" t="inlineStr">
        <is>
          <t>Week 1 starts (Monday)</t>
        </is>
      </c>
      <c r="B3" s="12" t="n">
        <v>46300</v>
      </c>
    </row>
    <row r="4">
      <c r="A4" t="inlineStr">
        <is>
          <t>Opening cash (bank balance at that date)</t>
        </is>
      </c>
      <c r="B4" s="8" t="n">
        <v>450000</v>
      </c>
    </row>
    <row r="5">
      <c r="A5" t="inlineStr">
        <is>
          <t>Minimum cash balance</t>
        </is>
      </c>
      <c r="B5" s="8" t="n">
        <v>200000</v>
      </c>
    </row>
    <row r="6">
      <c r="A6" t="inlineStr">
        <is>
          <t>Revolver limit</t>
        </is>
      </c>
      <c r="B6" s="8" t="n">
        <v>500000</v>
      </c>
    </row>
    <row r="8">
      <c r="A8" s="4" t="inlineStr">
        <is>
          <t>Week</t>
        </is>
      </c>
      <c r="B8" s="4" t="inlineStr">
        <is>
          <t>Starts</t>
        </is>
      </c>
      <c r="C8" s="4" t="inlineStr">
        <is>
          <t>Ends</t>
        </is>
      </c>
    </row>
    <row r="9">
      <c r="A9" t="n">
        <v>1</v>
      </c>
      <c r="B9" s="6">
        <f>$B$3</f>
        <v/>
      </c>
      <c r="C9" s="6">
        <f>B9+6</f>
        <v/>
      </c>
    </row>
    <row r="10">
      <c r="A10" t="n">
        <v>2</v>
      </c>
      <c r="B10" s="6">
        <f>B9+7</f>
        <v/>
      </c>
      <c r="C10" s="6">
        <f>B10+6</f>
        <v/>
      </c>
    </row>
    <row r="11">
      <c r="A11" t="n">
        <v>3</v>
      </c>
      <c r="B11" s="6">
        <f>B10+7</f>
        <v/>
      </c>
      <c r="C11" s="6">
        <f>B11+6</f>
        <v/>
      </c>
    </row>
    <row r="12">
      <c r="A12" t="n">
        <v>4</v>
      </c>
      <c r="B12" s="6">
        <f>B11+7</f>
        <v/>
      </c>
      <c r="C12" s="6">
        <f>B12+6</f>
        <v/>
      </c>
    </row>
    <row r="13">
      <c r="A13" t="n">
        <v>5</v>
      </c>
      <c r="B13" s="6">
        <f>B12+7</f>
        <v/>
      </c>
      <c r="C13" s="6">
        <f>B13+6</f>
        <v/>
      </c>
    </row>
    <row r="14">
      <c r="A14" t="n">
        <v>6</v>
      </c>
      <c r="B14" s="6">
        <f>B13+7</f>
        <v/>
      </c>
      <c r="C14" s="6">
        <f>B14+6</f>
        <v/>
      </c>
    </row>
    <row r="15">
      <c r="A15" t="n">
        <v>7</v>
      </c>
      <c r="B15" s="6">
        <f>B14+7</f>
        <v/>
      </c>
      <c r="C15" s="6">
        <f>B15+6</f>
        <v/>
      </c>
    </row>
    <row r="16">
      <c r="A16" t="n">
        <v>8</v>
      </c>
      <c r="B16" s="6">
        <f>B15+7</f>
        <v/>
      </c>
      <c r="C16" s="6">
        <f>B16+6</f>
        <v/>
      </c>
    </row>
    <row r="17">
      <c r="A17" t="n">
        <v>9</v>
      </c>
      <c r="B17" s="6">
        <f>B16+7</f>
        <v/>
      </c>
      <c r="C17" s="6">
        <f>B17+6</f>
        <v/>
      </c>
    </row>
    <row r="18">
      <c r="A18" t="n">
        <v>10</v>
      </c>
      <c r="B18" s="6">
        <f>B17+7</f>
        <v/>
      </c>
      <c r="C18" s="6">
        <f>B18+6</f>
        <v/>
      </c>
    </row>
    <row r="19">
      <c r="A19" t="n">
        <v>11</v>
      </c>
      <c r="B19" s="6">
        <f>B18+7</f>
        <v/>
      </c>
      <c r="C19" s="6">
        <f>B19+6</f>
        <v/>
      </c>
    </row>
    <row r="20">
      <c r="A20" t="n">
        <v>12</v>
      </c>
      <c r="B20" s="6">
        <f>B19+7</f>
        <v/>
      </c>
      <c r="C20" s="6">
        <f>B20+6</f>
        <v/>
      </c>
    </row>
    <row r="21">
      <c r="A21" t="n">
        <v>13</v>
      </c>
      <c r="B21" s="6">
        <f>B20+7</f>
        <v/>
      </c>
      <c r="C21" s="6">
        <f>B21+6</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12" customWidth="1" min="3" max="3"/>
    <col width="12" customWidth="1" min="4" max="4"/>
    <col width="13" customWidth="1" min="5" max="5"/>
    <col width="10" customWidth="1" min="6" max="6"/>
  </cols>
  <sheetData>
    <row r="1">
      <c r="A1" s="1" t="inlineStr">
        <is>
          <t>Paid invoices</t>
        </is>
      </c>
    </row>
    <row r="2">
      <c r="A2" s="3" t="inlineStr">
        <is>
          <t>History for days late per customer. Days late = paid date - due date (negative = paid early).</t>
        </is>
      </c>
    </row>
    <row r="4">
      <c r="A4" s="4" t="inlineStr">
        <is>
          <t>Invoice</t>
        </is>
      </c>
      <c r="B4" s="4" t="inlineStr">
        <is>
          <t>Customer</t>
        </is>
      </c>
      <c r="C4" s="4" t="inlineStr">
        <is>
          <t>Due date</t>
        </is>
      </c>
      <c r="D4" s="4" t="inlineStr">
        <is>
          <t>Paid date</t>
        </is>
      </c>
      <c r="E4" s="4" t="inlineStr">
        <is>
          <t>Amount</t>
        </is>
      </c>
      <c r="F4" s="4" t="inlineStr">
        <is>
          <t>Days late</t>
        </is>
      </c>
    </row>
    <row r="5">
      <c r="A5" s="15" t="inlineStr">
        <is>
          <t>INV-9801</t>
        </is>
      </c>
      <c r="B5" s="15" t="inlineStr">
        <is>
          <t>Acme Industrial</t>
        </is>
      </c>
      <c r="C5" s="12" t="n">
        <v>46188</v>
      </c>
      <c r="D5" s="12" t="n">
        <v>46200</v>
      </c>
      <c r="E5" s="8" t="n">
        <v>50000</v>
      </c>
      <c r="F5" s="5">
        <f>IF(D5="","",D5-C5)</f>
        <v/>
      </c>
    </row>
    <row r="6">
      <c r="A6" s="15" t="inlineStr">
        <is>
          <t>INV-9802</t>
        </is>
      </c>
      <c r="B6" s="15" t="inlineStr">
        <is>
          <t>Acme Industrial</t>
        </is>
      </c>
      <c r="C6" s="12" t="n">
        <v>46218</v>
      </c>
      <c r="D6" s="12" t="n">
        <v>46233</v>
      </c>
      <c r="E6" s="8" t="n">
        <v>55000</v>
      </c>
      <c r="F6" s="5">
        <f>IF(D6="","",D6-C6)</f>
        <v/>
      </c>
    </row>
    <row r="7">
      <c r="A7" s="15" t="inlineStr">
        <is>
          <t>INV-9803</t>
        </is>
      </c>
      <c r="B7" s="15" t="inlineStr">
        <is>
          <t>Acme Industrial</t>
        </is>
      </c>
      <c r="C7" s="12" t="n">
        <v>46249</v>
      </c>
      <c r="D7" s="12" t="n">
        <v>46267</v>
      </c>
      <c r="E7" s="8" t="n">
        <v>60000</v>
      </c>
      <c r="F7" s="5">
        <f>IF(D7="","",D7-C7)</f>
        <v/>
      </c>
    </row>
    <row r="8">
      <c r="A8" s="15" t="inlineStr">
        <is>
          <t>INV-9804</t>
        </is>
      </c>
      <c r="B8" s="15" t="inlineStr">
        <is>
          <t>Baxter Foods</t>
        </is>
      </c>
      <c r="C8" s="12" t="n">
        <v>46188</v>
      </c>
      <c r="D8" s="12" t="n">
        <v>46191</v>
      </c>
      <c r="E8" s="8" t="n">
        <v>50000</v>
      </c>
      <c r="F8" s="5">
        <f>IF(D8="","",D8-C8)</f>
        <v/>
      </c>
    </row>
    <row r="9">
      <c r="A9" s="15" t="inlineStr">
        <is>
          <t>INV-9805</t>
        </is>
      </c>
      <c r="B9" s="15" t="inlineStr">
        <is>
          <t>Baxter Foods</t>
        </is>
      </c>
      <c r="C9" s="12" t="n">
        <v>46218</v>
      </c>
      <c r="D9" s="12" t="n">
        <v>46223</v>
      </c>
      <c r="E9" s="8" t="n">
        <v>55000</v>
      </c>
      <c r="F9" s="5">
        <f>IF(D9="","",D9-C9)</f>
        <v/>
      </c>
    </row>
    <row r="10">
      <c r="A10" s="15" t="inlineStr">
        <is>
          <t>INV-9806</t>
        </is>
      </c>
      <c r="B10" s="15" t="inlineStr">
        <is>
          <t>Baxter Foods</t>
        </is>
      </c>
      <c r="C10" s="12" t="n">
        <v>46249</v>
      </c>
      <c r="D10" s="12" t="n">
        <v>46253</v>
      </c>
      <c r="E10" s="8" t="n">
        <v>60000</v>
      </c>
      <c r="F10" s="5">
        <f>IF(D10="","",D10-C10)</f>
        <v/>
      </c>
    </row>
    <row r="11">
      <c r="A11" s="15" t="inlineStr">
        <is>
          <t>INV-9807</t>
        </is>
      </c>
      <c r="B11" s="15" t="inlineStr">
        <is>
          <t>Coastal Logistics</t>
        </is>
      </c>
      <c r="C11" s="12" t="n">
        <v>46188</v>
      </c>
      <c r="D11" s="12" t="n">
        <v>46213</v>
      </c>
      <c r="E11" s="8" t="n">
        <v>50000</v>
      </c>
      <c r="F11" s="5">
        <f>IF(D11="","",D11-C11)</f>
        <v/>
      </c>
    </row>
    <row r="12">
      <c r="A12" s="15" t="inlineStr">
        <is>
          <t>INV-9808</t>
        </is>
      </c>
      <c r="B12" s="15" t="inlineStr">
        <is>
          <t>Coastal Logistics</t>
        </is>
      </c>
      <c r="C12" s="12" t="n">
        <v>46218</v>
      </c>
      <c r="D12" s="12" t="n">
        <v>46248</v>
      </c>
      <c r="E12" s="8" t="n">
        <v>55000</v>
      </c>
      <c r="F12" s="5">
        <f>IF(D12="","",D12-C12)</f>
        <v/>
      </c>
    </row>
    <row r="13">
      <c r="A13" s="15" t="inlineStr">
        <is>
          <t>INV-9809</t>
        </is>
      </c>
      <c r="B13" s="15" t="inlineStr">
        <is>
          <t>Coastal Logistics</t>
        </is>
      </c>
      <c r="C13" s="12" t="n">
        <v>46249</v>
      </c>
      <c r="D13" s="12" t="n">
        <v>46284</v>
      </c>
      <c r="E13" s="8" t="n">
        <v>60000</v>
      </c>
      <c r="F13" s="5">
        <f>IF(D13="","",D13-C13)</f>
        <v/>
      </c>
    </row>
    <row r="14">
      <c r="A14" s="15" t="inlineStr">
        <is>
          <t>INV-9810</t>
        </is>
      </c>
      <c r="B14" s="15" t="inlineStr">
        <is>
          <t>Delta Health Systems</t>
        </is>
      </c>
      <c r="C14" s="12" t="n">
        <v>46188</v>
      </c>
      <c r="D14" s="12" t="n">
        <v>46186</v>
      </c>
      <c r="E14" s="8" t="n">
        <v>50000</v>
      </c>
      <c r="F14" s="5">
        <f>IF(D14="","",D14-C14)</f>
        <v/>
      </c>
    </row>
    <row r="15">
      <c r="A15" s="15" t="inlineStr">
        <is>
          <t>INV-9811</t>
        </is>
      </c>
      <c r="B15" s="15" t="inlineStr">
        <is>
          <t>Delta Health Systems</t>
        </is>
      </c>
      <c r="C15" s="12" t="n">
        <v>46218</v>
      </c>
      <c r="D15" s="12" t="n">
        <v>46218</v>
      </c>
      <c r="E15" s="8" t="n">
        <v>55000</v>
      </c>
      <c r="F15" s="5">
        <f>IF(D15="","",D15-C15)</f>
        <v/>
      </c>
    </row>
    <row r="16">
      <c r="A16" s="15" t="inlineStr">
        <is>
          <t>INV-9812</t>
        </is>
      </c>
      <c r="B16" s="15" t="inlineStr">
        <is>
          <t>Delta Health Systems</t>
        </is>
      </c>
      <c r="C16" s="12" t="n">
        <v>46249</v>
      </c>
      <c r="D16" s="12" t="n">
        <v>46251</v>
      </c>
      <c r="E16" s="8" t="n">
        <v>60000</v>
      </c>
      <c r="F16" s="5">
        <f>IF(D16="","",D16-C16)</f>
        <v/>
      </c>
    </row>
    <row r="17">
      <c r="A17" s="15" t="inlineStr">
        <is>
          <t>INV-9813</t>
        </is>
      </c>
      <c r="B17" s="15" t="inlineStr">
        <is>
          <t>Evergreen Retail</t>
        </is>
      </c>
      <c r="C17" s="12" t="n">
        <v>46188</v>
      </c>
      <c r="D17" s="12" t="n">
        <v>46196</v>
      </c>
      <c r="E17" s="8" t="n">
        <v>50000</v>
      </c>
      <c r="F17" s="5">
        <f>IF(D17="","",D17-C17)</f>
        <v/>
      </c>
    </row>
    <row r="18">
      <c r="A18" s="15" t="inlineStr">
        <is>
          <t>INV-9814</t>
        </is>
      </c>
      <c r="B18" s="15" t="inlineStr">
        <is>
          <t>Evergreen Retail</t>
        </is>
      </c>
      <c r="C18" s="12" t="n">
        <v>46218</v>
      </c>
      <c r="D18" s="12" t="n">
        <v>46228</v>
      </c>
      <c r="E18" s="8" t="n">
        <v>55000</v>
      </c>
      <c r="F18" s="5">
        <f>IF(D18="","",D18-C18)</f>
        <v/>
      </c>
    </row>
    <row r="19">
      <c r="A19" s="15" t="inlineStr">
        <is>
          <t>INV-9815</t>
        </is>
      </c>
      <c r="B19" s="15" t="inlineStr">
        <is>
          <t>Evergreen Retail</t>
        </is>
      </c>
      <c r="C19" s="12" t="n">
        <v>46249</v>
      </c>
      <c r="D19" s="12" t="n">
        <v>46261</v>
      </c>
      <c r="E19" s="8" t="n">
        <v>60000</v>
      </c>
      <c r="F19" s="5">
        <f>IF(D19="","",D19-C19)</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5"/>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12" customWidth="1" min="3" max="3"/>
    <col width="12" customWidth="1" min="4" max="4"/>
    <col width="13" customWidth="1" min="5" max="5"/>
    <col width="12" customWidth="1" min="6" max="6"/>
    <col width="13" customWidth="1" min="7" max="7"/>
    <col width="8" customWidth="1" min="8" max="8"/>
    <col width="3" customWidth="1" min="9" max="9"/>
    <col width="26" customWidth="1" min="10" max="10"/>
    <col width="14" customWidth="1" min="11" max="11"/>
  </cols>
  <sheetData>
    <row r="1">
      <c r="A1" s="1" t="inlineStr">
        <is>
          <t>Open receivables</t>
        </is>
      </c>
    </row>
    <row r="2">
      <c r="A2" s="3" t="inlineStr">
        <is>
          <t>Expected date = due date + the customer's average days late from Paid. Week from the Inputs dates.</t>
        </is>
      </c>
    </row>
    <row r="4">
      <c r="A4" s="4" t="inlineStr">
        <is>
          <t>Invoice</t>
        </is>
      </c>
      <c r="B4" s="4" t="inlineStr">
        <is>
          <t>Customer</t>
        </is>
      </c>
      <c r="C4" s="4" t="inlineStr">
        <is>
          <t>Invoice date</t>
        </is>
      </c>
      <c r="D4" s="4" t="inlineStr">
        <is>
          <t>Due date</t>
        </is>
      </c>
      <c r="E4" s="4" t="inlineStr">
        <is>
          <t>Amount</t>
        </is>
      </c>
      <c r="F4" s="4" t="inlineStr">
        <is>
          <t>Avg days late</t>
        </is>
      </c>
      <c r="G4" s="4" t="inlineStr">
        <is>
          <t>Expected date</t>
        </is>
      </c>
      <c r="H4" s="4" t="inlineStr">
        <is>
          <t>Week</t>
        </is>
      </c>
      <c r="J4" s="11" t="inlineStr">
        <is>
          <t>Total open receivables</t>
        </is>
      </c>
      <c r="K4" s="7">
        <f>SUM(E5:E2000)</f>
        <v/>
      </c>
    </row>
    <row r="5">
      <c r="A5" s="15" t="inlineStr">
        <is>
          <t>INV-10401</t>
        </is>
      </c>
      <c r="B5" s="15" t="inlineStr">
        <is>
          <t>Acme Industrial</t>
        </is>
      </c>
      <c r="C5" s="12" t="n">
        <v>46251</v>
      </c>
      <c r="D5" s="12" t="n">
        <v>46281</v>
      </c>
      <c r="E5" s="8" t="n">
        <v>140000</v>
      </c>
      <c r="F5">
        <f>IF(B5="","",IFERROR(ROUND(AVERAGEIFS(Paid!$F$5:$F$2000,Paid!$B$5:$B$2000,B5),0),0))</f>
        <v/>
      </c>
      <c r="G5" s="6">
        <f>IF(D5="","",D5+F5)</f>
        <v/>
      </c>
      <c r="H5">
        <f>IF(G5="","",IF(G5&lt;Inputs!$B$9,1,IF(G5&gt;Inputs!$C$21,"Later",MATCH(G5,Inputs!$B$9:$B$21,1))))</f>
        <v/>
      </c>
      <c r="J5" t="inlineStr">
        <is>
          <t>Expected in weeks 1-13</t>
        </is>
      </c>
      <c r="K5" s="7">
        <f>K4-K6</f>
        <v/>
      </c>
    </row>
    <row r="6">
      <c r="A6" s="15" t="inlineStr">
        <is>
          <t>INV-10402</t>
        </is>
      </c>
      <c r="B6" s="15" t="inlineStr">
        <is>
          <t>Baxter Foods</t>
        </is>
      </c>
      <c r="C6" s="12" t="n">
        <v>46268</v>
      </c>
      <c r="D6" s="12" t="n">
        <v>46298</v>
      </c>
      <c r="E6" s="8" t="n">
        <v>108000</v>
      </c>
      <c r="F6">
        <f>IF(B6="","",IFERROR(ROUND(AVERAGEIFS(Paid!$F$5:$F$2000,Paid!$B$5:$B$2000,B6),0),0))</f>
        <v/>
      </c>
      <c r="G6" s="6">
        <f>IF(D6="","",D6+F6)</f>
        <v/>
      </c>
      <c r="H6">
        <f>IF(G6="","",IF(G6&lt;Inputs!$B$9,1,IF(G6&gt;Inputs!$C$21,"Later",MATCH(G6,Inputs!$B$9:$B$21,1))))</f>
        <v/>
      </c>
      <c r="J6" t="inlineStr">
        <is>
          <t>Expected after week 13</t>
        </is>
      </c>
      <c r="K6" s="7">
        <f>SUMIFS(E5:E2000,H5:H2000,"Later")</f>
        <v/>
      </c>
    </row>
    <row r="7">
      <c r="A7" s="15" t="inlineStr">
        <is>
          <t>INV-10403</t>
        </is>
      </c>
      <c r="B7" s="15" t="inlineStr">
        <is>
          <t>Coastal Logistics</t>
        </is>
      </c>
      <c r="C7" s="12" t="n">
        <v>46244</v>
      </c>
      <c r="D7" s="12" t="n">
        <v>46274</v>
      </c>
      <c r="E7" s="8" t="n">
        <v>62000</v>
      </c>
      <c r="F7">
        <f>IF(B7="","",IFERROR(ROUND(AVERAGEIFS(Paid!$F$5:$F$2000,Paid!$B$5:$B$2000,B7),0),0))</f>
        <v/>
      </c>
      <c r="G7" s="6">
        <f>IF(D7="","",D7+F7)</f>
        <v/>
      </c>
      <c r="H7">
        <f>IF(G7="","",IF(G7&lt;Inputs!$B$9,1,IF(G7&gt;Inputs!$C$21,"Later",MATCH(G7,Inputs!$B$9:$B$21,1))))</f>
        <v/>
      </c>
    </row>
    <row r="8">
      <c r="A8" s="15" t="inlineStr">
        <is>
          <t>INV-10404</t>
        </is>
      </c>
      <c r="B8" s="15" t="inlineStr">
        <is>
          <t>Delta Health Systems</t>
        </is>
      </c>
      <c r="C8" s="12" t="n">
        <v>46278</v>
      </c>
      <c r="D8" s="12" t="n">
        <v>46308</v>
      </c>
      <c r="E8" s="8" t="n">
        <v>126000</v>
      </c>
      <c r="F8">
        <f>IF(B8="","",IFERROR(ROUND(AVERAGEIFS(Paid!$F$5:$F$2000,Paid!$B$5:$B$2000,B8),0),0))</f>
        <v/>
      </c>
      <c r="G8" s="6">
        <f>IF(D8="","",D8+F8)</f>
        <v/>
      </c>
      <c r="H8">
        <f>IF(G8="","",IF(G8&lt;Inputs!$B$9,1,IF(G8&gt;Inputs!$C$21,"Later",MATCH(G8,Inputs!$B$9:$B$21,1))))</f>
        <v/>
      </c>
      <c r="J8" s="3" t="inlineStr">
        <is>
          <t>A customer with no paid history gets 0 days late, which is the same as forecasting from terms. Check those by hand.</t>
        </is>
      </c>
    </row>
    <row r="9">
      <c r="A9" s="15" t="inlineStr">
        <is>
          <t>INV-10405</t>
        </is>
      </c>
      <c r="B9" s="15" t="inlineStr">
        <is>
          <t>Evergreen Retail</t>
        </is>
      </c>
      <c r="C9" s="12" t="n">
        <v>46269</v>
      </c>
      <c r="D9" s="12" t="n">
        <v>46299</v>
      </c>
      <c r="E9" s="8" t="n">
        <v>98000</v>
      </c>
      <c r="F9">
        <f>IF(B9="","",IFERROR(ROUND(AVERAGEIFS(Paid!$F$5:$F$2000,Paid!$B$5:$B$2000,B9),0),0))</f>
        <v/>
      </c>
      <c r="G9" s="6">
        <f>IF(D9="","",D9+F9)</f>
        <v/>
      </c>
      <c r="H9">
        <f>IF(G9="","",IF(G9&lt;Inputs!$B$9,1,IF(G9&gt;Inputs!$C$21,"Later",MATCH(G9,Inputs!$B$9:$B$21,1))))</f>
        <v/>
      </c>
    </row>
    <row r="10">
      <c r="A10" s="15" t="inlineStr">
        <is>
          <t>INV-10406</t>
        </is>
      </c>
      <c r="B10" s="15" t="inlineStr">
        <is>
          <t>Acme Industrial</t>
        </is>
      </c>
      <c r="C10" s="12" t="n">
        <v>46266</v>
      </c>
      <c r="D10" s="12" t="n">
        <v>46296</v>
      </c>
      <c r="E10" s="8" t="n">
        <v>56000</v>
      </c>
      <c r="F10">
        <f>IF(B10="","",IFERROR(ROUND(AVERAGEIFS(Paid!$F$5:$F$2000,Paid!$B$5:$B$2000,B10),0),0))</f>
        <v/>
      </c>
      <c r="G10" s="6">
        <f>IF(D10="","",D10+F10)</f>
        <v/>
      </c>
      <c r="H10">
        <f>IF(G10="","",IF(G10&lt;Inputs!$B$9,1,IF(G10&gt;Inputs!$C$21,"Later",MATCH(G10,Inputs!$B$9:$B$21,1))))</f>
        <v/>
      </c>
    </row>
    <row r="11">
      <c r="A11" s="15" t="inlineStr">
        <is>
          <t>INV-10407</t>
        </is>
      </c>
      <c r="B11" s="15" t="inlineStr">
        <is>
          <t>Baxter Foods</t>
        </is>
      </c>
      <c r="C11" s="12" t="n">
        <v>46281</v>
      </c>
      <c r="D11" s="12" t="n">
        <v>46311</v>
      </c>
      <c r="E11" s="8" t="n">
        <v>133000</v>
      </c>
      <c r="F11">
        <f>IF(B11="","",IFERROR(ROUND(AVERAGEIFS(Paid!$F$5:$F$2000,Paid!$B$5:$B$2000,B11),0),0))</f>
        <v/>
      </c>
      <c r="G11" s="6">
        <f>IF(D11="","",D11+F11)</f>
        <v/>
      </c>
      <c r="H11">
        <f>IF(G11="","",IF(G11&lt;Inputs!$B$9,1,IF(G11&gt;Inputs!$C$21,"Later",MATCH(G11,Inputs!$B$9:$B$21,1))))</f>
        <v/>
      </c>
    </row>
    <row r="12">
      <c r="A12" s="15" t="inlineStr">
        <is>
          <t>INV-10408</t>
        </is>
      </c>
      <c r="B12" s="15" t="inlineStr">
        <is>
          <t>Coastal Logistics</t>
        </is>
      </c>
      <c r="C12" s="12" t="n">
        <v>46256</v>
      </c>
      <c r="D12" s="12" t="n">
        <v>46286</v>
      </c>
      <c r="E12" s="8" t="n">
        <v>103000</v>
      </c>
      <c r="F12">
        <f>IF(B12="","",IFERROR(ROUND(AVERAGEIFS(Paid!$F$5:$F$2000,Paid!$B$5:$B$2000,B12),0),0))</f>
        <v/>
      </c>
      <c r="G12" s="6">
        <f>IF(D12="","",D12+F12)</f>
        <v/>
      </c>
      <c r="H12">
        <f>IF(G12="","",IF(G12&lt;Inputs!$B$9,1,IF(G12&gt;Inputs!$C$21,"Later",MATCH(G12,Inputs!$B$9:$B$21,1))))</f>
        <v/>
      </c>
    </row>
    <row r="13">
      <c r="A13" s="15" t="inlineStr">
        <is>
          <t>INV-10409</t>
        </is>
      </c>
      <c r="B13" s="15" t="inlineStr">
        <is>
          <t>Delta Health Systems</t>
        </is>
      </c>
      <c r="C13" s="12" t="n">
        <v>46288</v>
      </c>
      <c r="D13" s="12" t="n">
        <v>46318</v>
      </c>
      <c r="E13" s="8" t="n">
        <v>59000</v>
      </c>
      <c r="F13">
        <f>IF(B13="","",IFERROR(ROUND(AVERAGEIFS(Paid!$F$5:$F$2000,Paid!$B$5:$B$2000,B13),0),0))</f>
        <v/>
      </c>
      <c r="G13" s="6">
        <f>IF(D13="","",D13+F13)</f>
        <v/>
      </c>
      <c r="H13">
        <f>IF(G13="","",IF(G13&lt;Inputs!$B$9,1,IF(G13&gt;Inputs!$C$21,"Later",MATCH(G13,Inputs!$B$9:$B$21,1))))</f>
        <v/>
      </c>
    </row>
    <row r="14">
      <c r="A14" s="15" t="inlineStr">
        <is>
          <t>INV-10410</t>
        </is>
      </c>
      <c r="B14" s="15" t="inlineStr">
        <is>
          <t>Evergreen Retail</t>
        </is>
      </c>
      <c r="C14" s="12" t="n">
        <v>46282</v>
      </c>
      <c r="D14" s="12" t="n">
        <v>46312</v>
      </c>
      <c r="E14" s="8" t="n">
        <v>148000</v>
      </c>
      <c r="F14">
        <f>IF(B14="","",IFERROR(ROUND(AVERAGEIFS(Paid!$F$5:$F$2000,Paid!$B$5:$B$2000,B14),0),0))</f>
        <v/>
      </c>
      <c r="G14" s="6">
        <f>IF(D14="","",D14+F14)</f>
        <v/>
      </c>
      <c r="H14">
        <f>IF(G14="","",IF(G14&lt;Inputs!$B$9,1,IF(G14&gt;Inputs!$C$21,"Later",MATCH(G14,Inputs!$B$9:$B$21,1))))</f>
        <v/>
      </c>
    </row>
    <row r="15">
      <c r="A15" s="15" t="inlineStr">
        <is>
          <t>INV-10411</t>
        </is>
      </c>
      <c r="B15" s="15" t="inlineStr">
        <is>
          <t>Acme Industrial</t>
        </is>
      </c>
      <c r="C15" s="12" t="n">
        <v>46278</v>
      </c>
      <c r="D15" s="12" t="n">
        <v>46308</v>
      </c>
      <c r="E15" s="8" t="n">
        <v>115000</v>
      </c>
      <c r="F15">
        <f>IF(B15="","",IFERROR(ROUND(AVERAGEIFS(Paid!$F$5:$F$2000,Paid!$B$5:$B$2000,B15),0),0))</f>
        <v/>
      </c>
      <c r="G15" s="6">
        <f>IF(D15="","",D15+F15)</f>
        <v/>
      </c>
      <c r="H15">
        <f>IF(G15="","",IF(G15&lt;Inputs!$B$9,1,IF(G15&gt;Inputs!$C$21,"Later",MATCH(G15,Inputs!$B$9:$B$21,1))))</f>
        <v/>
      </c>
    </row>
    <row r="16">
      <c r="A16" s="15" t="inlineStr">
        <is>
          <t>INV-10412</t>
        </is>
      </c>
      <c r="B16" s="15" t="inlineStr">
        <is>
          <t>Baxter Foods</t>
        </is>
      </c>
      <c r="C16" s="12" t="n">
        <v>46291</v>
      </c>
      <c r="D16" s="12" t="n">
        <v>46321</v>
      </c>
      <c r="E16" s="8" t="n">
        <v>67000</v>
      </c>
      <c r="F16">
        <f>IF(B16="","",IFERROR(ROUND(AVERAGEIFS(Paid!$F$5:$F$2000,Paid!$B$5:$B$2000,B16),0),0))</f>
        <v/>
      </c>
      <c r="G16" s="6">
        <f>IF(D16="","",D16+F16)</f>
        <v/>
      </c>
      <c r="H16">
        <f>IF(G16="","",IF(G16&lt;Inputs!$B$9,1,IF(G16&gt;Inputs!$C$21,"Later",MATCH(G16,Inputs!$B$9:$B$21,1))))</f>
        <v/>
      </c>
    </row>
    <row r="17">
      <c r="A17" s="15" t="inlineStr">
        <is>
          <t>INV-10413</t>
        </is>
      </c>
      <c r="B17" s="15" t="inlineStr">
        <is>
          <t>Coastal Logistics</t>
        </is>
      </c>
      <c r="C17" s="12" t="n">
        <v>46269</v>
      </c>
      <c r="D17" s="12" t="n">
        <v>46299</v>
      </c>
      <c r="E17" s="8" t="n">
        <v>117000</v>
      </c>
      <c r="F17">
        <f>IF(B17="","",IFERROR(ROUND(AVERAGEIFS(Paid!$F$5:$F$2000,Paid!$B$5:$B$2000,B17),0),0))</f>
        <v/>
      </c>
      <c r="G17" s="6">
        <f>IF(D17="","",D17+F17)</f>
        <v/>
      </c>
      <c r="H17">
        <f>IF(G17="","",IF(G17&lt;Inputs!$B$9,1,IF(G17&gt;Inputs!$C$21,"Later",MATCH(G17,Inputs!$B$9:$B$21,1))))</f>
        <v/>
      </c>
    </row>
    <row r="18">
      <c r="A18" s="15" t="inlineStr">
        <is>
          <t>INV-10414</t>
        </is>
      </c>
      <c r="B18" s="15" t="inlineStr">
        <is>
          <t>Delta Health Systems</t>
        </is>
      </c>
      <c r="C18" s="12" t="n">
        <v>46300</v>
      </c>
      <c r="D18" s="12" t="n">
        <v>46330</v>
      </c>
      <c r="E18" s="8" t="n">
        <v>91000</v>
      </c>
      <c r="F18">
        <f>IF(B18="","",IFERROR(ROUND(AVERAGEIFS(Paid!$F$5:$F$2000,Paid!$B$5:$B$2000,B18),0),0))</f>
        <v/>
      </c>
      <c r="G18" s="6">
        <f>IF(D18="","",D18+F18)</f>
        <v/>
      </c>
      <c r="H18">
        <f>IF(G18="","",IF(G18&lt;Inputs!$B$9,1,IF(G18&gt;Inputs!$C$21,"Later",MATCH(G18,Inputs!$B$9:$B$21,1))))</f>
        <v/>
      </c>
    </row>
    <row r="19">
      <c r="A19" s="15" t="inlineStr">
        <is>
          <t>INV-10415</t>
        </is>
      </c>
      <c r="B19" s="15" t="inlineStr">
        <is>
          <t>Evergreen Retail</t>
        </is>
      </c>
      <c r="C19" s="12" t="n">
        <v>46292</v>
      </c>
      <c r="D19" s="12" t="n">
        <v>46322</v>
      </c>
      <c r="E19" s="8" t="n">
        <v>52000</v>
      </c>
      <c r="F19">
        <f>IF(B19="","",IFERROR(ROUND(AVERAGEIFS(Paid!$F$5:$F$2000,Paid!$B$5:$B$2000,B19),0),0))</f>
        <v/>
      </c>
      <c r="G19" s="6">
        <f>IF(D19="","",D19+F19)</f>
        <v/>
      </c>
      <c r="H19">
        <f>IF(G19="","",IF(G19&lt;Inputs!$B$9,1,IF(G19&gt;Inputs!$C$21,"Later",MATCH(G19,Inputs!$B$9:$B$21,1))))</f>
        <v/>
      </c>
    </row>
    <row r="20">
      <c r="A20" s="15" t="inlineStr">
        <is>
          <t>INV-10416</t>
        </is>
      </c>
      <c r="B20" s="15" t="inlineStr">
        <is>
          <t>Acme Industrial</t>
        </is>
      </c>
      <c r="C20" s="12" t="n">
        <v>46291</v>
      </c>
      <c r="D20" s="12" t="n">
        <v>46321</v>
      </c>
      <c r="E20" s="8" t="n">
        <v>135000</v>
      </c>
      <c r="F20">
        <f>IF(B20="","",IFERROR(ROUND(AVERAGEIFS(Paid!$F$5:$F$2000,Paid!$B$5:$B$2000,B20),0),0))</f>
        <v/>
      </c>
      <c r="G20" s="6">
        <f>IF(D20="","",D20+F20)</f>
        <v/>
      </c>
      <c r="H20">
        <f>IF(G20="","",IF(G20&lt;Inputs!$B$9,1,IF(G20&gt;Inputs!$C$21,"Later",MATCH(G20,Inputs!$B$9:$B$21,1))))</f>
        <v/>
      </c>
    </row>
    <row r="21">
      <c r="A21" s="15" t="inlineStr">
        <is>
          <t>INV-10417</t>
        </is>
      </c>
      <c r="B21" s="15" t="inlineStr">
        <is>
          <t>Baxter Foods</t>
        </is>
      </c>
      <c r="C21" s="12" t="n">
        <v>46303</v>
      </c>
      <c r="D21" s="12" t="n">
        <v>46333</v>
      </c>
      <c r="E21" s="8" t="n">
        <v>105000</v>
      </c>
      <c r="F21">
        <f>IF(B21="","",IFERROR(ROUND(AVERAGEIFS(Paid!$F$5:$F$2000,Paid!$B$5:$B$2000,B21),0),0))</f>
        <v/>
      </c>
      <c r="G21" s="6">
        <f>IF(D21="","",D21+F21)</f>
        <v/>
      </c>
      <c r="H21">
        <f>IF(G21="","",IF(G21&lt;Inputs!$B$9,1,IF(G21&gt;Inputs!$C$21,"Later",MATCH(G21,Inputs!$B$9:$B$21,1))))</f>
        <v/>
      </c>
    </row>
    <row r="22">
      <c r="A22" s="15" t="inlineStr">
        <is>
          <t>INV-10418</t>
        </is>
      </c>
      <c r="B22" s="15" t="inlineStr">
        <is>
          <t>Coastal Logistics</t>
        </is>
      </c>
      <c r="C22" s="12" t="n">
        <v>46279</v>
      </c>
      <c r="D22" s="12" t="n">
        <v>46309</v>
      </c>
      <c r="E22" s="8" t="n">
        <v>60000</v>
      </c>
      <c r="F22">
        <f>IF(B22="","",IFERROR(ROUND(AVERAGEIFS(Paid!$F$5:$F$2000,Paid!$B$5:$B$2000,B22),0),0))</f>
        <v/>
      </c>
      <c r="G22" s="6">
        <f>IF(D22="","",D22+F22)</f>
        <v/>
      </c>
      <c r="H22">
        <f>IF(G22="","",IF(G22&lt;Inputs!$B$9,1,IF(G22&gt;Inputs!$C$21,"Later",MATCH(G22,Inputs!$B$9:$B$21,1))))</f>
        <v/>
      </c>
    </row>
    <row r="23">
      <c r="A23" s="15" t="inlineStr">
        <is>
          <t>INV-10419</t>
        </is>
      </c>
      <c r="B23" s="15" t="inlineStr">
        <is>
          <t>Delta Health Systems</t>
        </is>
      </c>
      <c r="C23" s="12" t="n">
        <v>46313</v>
      </c>
      <c r="D23" s="12" t="n">
        <v>46343</v>
      </c>
      <c r="E23" s="8" t="n">
        <v>153000</v>
      </c>
      <c r="F23">
        <f>IF(B23="","",IFERROR(ROUND(AVERAGEIFS(Paid!$F$5:$F$2000,Paid!$B$5:$B$2000,B23),0),0))</f>
        <v/>
      </c>
      <c r="G23" s="6">
        <f>IF(D23="","",D23+F23)</f>
        <v/>
      </c>
      <c r="H23">
        <f>IF(G23="","",IF(G23&lt;Inputs!$B$9,1,IF(G23&gt;Inputs!$C$21,"Later",MATCH(G23,Inputs!$B$9:$B$21,1))))</f>
        <v/>
      </c>
    </row>
    <row r="24">
      <c r="A24" s="15" t="inlineStr">
        <is>
          <t>INV-10420</t>
        </is>
      </c>
      <c r="B24" s="15" t="inlineStr">
        <is>
          <t>Evergreen Retail</t>
        </is>
      </c>
      <c r="C24" s="12" t="n">
        <v>46304</v>
      </c>
      <c r="D24" s="12" t="n">
        <v>46334</v>
      </c>
      <c r="E24" s="8" t="n">
        <v>119000</v>
      </c>
      <c r="F24">
        <f>IF(B24="","",IFERROR(ROUND(AVERAGEIFS(Paid!$F$5:$F$2000,Paid!$B$5:$B$2000,B24),0),0))</f>
        <v/>
      </c>
      <c r="G24" s="6">
        <f>IF(D24="","",D24+F24)</f>
        <v/>
      </c>
      <c r="H24">
        <f>IF(G24="","",IF(G24&lt;Inputs!$B$9,1,IF(G24&gt;Inputs!$C$21,"Later",MATCH(G24,Inputs!$B$9:$B$21,1))))</f>
        <v/>
      </c>
    </row>
    <row r="25">
      <c r="A25" s="15" t="inlineStr">
        <is>
          <t>INV-10421</t>
        </is>
      </c>
      <c r="B25" s="15" t="inlineStr">
        <is>
          <t>Acme Industrial</t>
        </is>
      </c>
      <c r="C25" s="12" t="n">
        <v>46301</v>
      </c>
      <c r="D25" s="12" t="n">
        <v>46331</v>
      </c>
      <c r="E25" s="8" t="n">
        <v>68000</v>
      </c>
      <c r="F25">
        <f>IF(B25="","",IFERROR(ROUND(AVERAGEIFS(Paid!$F$5:$F$2000,Paid!$B$5:$B$2000,B25),0),0))</f>
        <v/>
      </c>
      <c r="G25" s="6">
        <f>IF(D25="","",D25+F25)</f>
        <v/>
      </c>
      <c r="H25">
        <f>IF(G25="","",IF(G25&lt;Inputs!$B$9,1,IF(G25&gt;Inputs!$C$21,"Later",MATCH(G25,Inputs!$B$9:$B$21,1))))</f>
        <v/>
      </c>
    </row>
    <row r="26">
      <c r="A26" s="15" t="inlineStr">
        <is>
          <t>INV-10422</t>
        </is>
      </c>
      <c r="B26" s="15" t="inlineStr">
        <is>
          <t>Baxter Foods</t>
        </is>
      </c>
      <c r="C26" s="12" t="n">
        <v>46316</v>
      </c>
      <c r="D26" s="12" t="n">
        <v>46346</v>
      </c>
      <c r="E26" s="8" t="n">
        <v>128000</v>
      </c>
      <c r="F26">
        <f>IF(B26="","",IFERROR(ROUND(AVERAGEIFS(Paid!$F$5:$F$2000,Paid!$B$5:$B$2000,B26),0),0))</f>
        <v/>
      </c>
      <c r="G26" s="6">
        <f>IF(D26="","",D26+F26)</f>
        <v/>
      </c>
      <c r="H26">
        <f>IF(G26="","",IF(G26&lt;Inputs!$B$9,1,IF(G26&gt;Inputs!$C$21,"Later",MATCH(G26,Inputs!$B$9:$B$21,1))))</f>
        <v/>
      </c>
    </row>
    <row r="27">
      <c r="A27" s="15" t="inlineStr">
        <is>
          <t>INV-10423</t>
        </is>
      </c>
      <c r="B27" s="15" t="inlineStr">
        <is>
          <t>Coastal Logistics</t>
        </is>
      </c>
      <c r="C27" s="12" t="n">
        <v>46291</v>
      </c>
      <c r="D27" s="12" t="n">
        <v>46321</v>
      </c>
      <c r="E27" s="8" t="n">
        <v>100000</v>
      </c>
      <c r="F27">
        <f>IF(B27="","",IFERROR(ROUND(AVERAGEIFS(Paid!$F$5:$F$2000,Paid!$B$5:$B$2000,B27),0),0))</f>
        <v/>
      </c>
      <c r="G27" s="6">
        <f>IF(D27="","",D27+F27)</f>
        <v/>
      </c>
      <c r="H27">
        <f>IF(G27="","",IF(G27&lt;Inputs!$B$9,1,IF(G27&gt;Inputs!$C$21,"Later",MATCH(G27,Inputs!$B$9:$B$21,1))))</f>
        <v/>
      </c>
    </row>
    <row r="28">
      <c r="A28" s="15" t="inlineStr">
        <is>
          <t>INV-10424</t>
        </is>
      </c>
      <c r="B28" s="15" t="inlineStr">
        <is>
          <t>Delta Health Systems</t>
        </is>
      </c>
      <c r="C28" s="12" t="n">
        <v>46323</v>
      </c>
      <c r="D28" s="12" t="n">
        <v>46353</v>
      </c>
      <c r="E28" s="8" t="n">
        <v>57000</v>
      </c>
      <c r="F28">
        <f>IF(B28="","",IFERROR(ROUND(AVERAGEIFS(Paid!$F$5:$F$2000,Paid!$B$5:$B$2000,B28),0),0))</f>
        <v/>
      </c>
      <c r="G28" s="6">
        <f>IF(D28="","",D28+F28)</f>
        <v/>
      </c>
      <c r="H28">
        <f>IF(G28="","",IF(G28&lt;Inputs!$B$9,1,IF(G28&gt;Inputs!$C$21,"Later",MATCH(G28,Inputs!$B$9:$B$21,1))))</f>
        <v/>
      </c>
    </row>
    <row r="29">
      <c r="A29" s="15" t="inlineStr">
        <is>
          <t>INV-10425</t>
        </is>
      </c>
      <c r="B29" s="15" t="inlineStr">
        <is>
          <t>Evergreen Retail</t>
        </is>
      </c>
      <c r="C29" s="12" t="n">
        <v>46317</v>
      </c>
      <c r="D29" s="12" t="n">
        <v>46347</v>
      </c>
      <c r="E29" s="8" t="n">
        <v>144000</v>
      </c>
      <c r="F29">
        <f>IF(B29="","",IFERROR(ROUND(AVERAGEIFS(Paid!$F$5:$F$2000,Paid!$B$5:$B$2000,B29),0),0))</f>
        <v/>
      </c>
      <c r="G29" s="6">
        <f>IF(D29="","",D29+F29)</f>
        <v/>
      </c>
      <c r="H29">
        <f>IF(G29="","",IF(G29&lt;Inputs!$B$9,1,IF(G29&gt;Inputs!$C$21,"Later",MATCH(G29,Inputs!$B$9:$B$21,1))))</f>
        <v/>
      </c>
    </row>
    <row r="30">
      <c r="A30" s="15" t="inlineStr">
        <is>
          <t>INV-10426</t>
        </is>
      </c>
      <c r="B30" s="15" t="inlineStr">
        <is>
          <t>Acme Industrial</t>
        </is>
      </c>
      <c r="C30" s="12" t="n">
        <v>46313</v>
      </c>
      <c r="D30" s="12" t="n">
        <v>46343</v>
      </c>
      <c r="E30" s="8" t="n">
        <v>112000</v>
      </c>
      <c r="F30">
        <f>IF(B30="","",IFERROR(ROUND(AVERAGEIFS(Paid!$F$5:$F$2000,Paid!$B$5:$B$2000,B30),0),0))</f>
        <v/>
      </c>
      <c r="G30" s="6">
        <f>IF(D30="","",D30+F30)</f>
        <v/>
      </c>
      <c r="H30">
        <f>IF(G30="","",IF(G30&lt;Inputs!$B$9,1,IF(G30&gt;Inputs!$C$21,"Later",MATCH(G30,Inputs!$B$9:$B$21,1))))</f>
        <v/>
      </c>
    </row>
    <row r="31">
      <c r="A31" s="15" t="inlineStr">
        <is>
          <t>INV-10427</t>
        </is>
      </c>
      <c r="B31" s="15" t="inlineStr">
        <is>
          <t>Baxter Foods</t>
        </is>
      </c>
      <c r="C31" s="12" t="n">
        <v>46326</v>
      </c>
      <c r="D31" s="12" t="n">
        <v>46356</v>
      </c>
      <c r="E31" s="8" t="n">
        <v>64000</v>
      </c>
      <c r="F31">
        <f>IF(B31="","",IFERROR(ROUND(AVERAGEIFS(Paid!$F$5:$F$2000,Paid!$B$5:$B$2000,B31),0),0))</f>
        <v/>
      </c>
      <c r="G31" s="6">
        <f>IF(D31="","",D31+F31)</f>
        <v/>
      </c>
      <c r="H31">
        <f>IF(G31="","",IF(G31&lt;Inputs!$B$9,1,IF(G31&gt;Inputs!$C$21,"Later",MATCH(G31,Inputs!$B$9:$B$21,1))))</f>
        <v/>
      </c>
    </row>
    <row r="32">
      <c r="A32" s="15" t="inlineStr">
        <is>
          <t>INV-10428</t>
        </is>
      </c>
      <c r="B32" s="15" t="inlineStr">
        <is>
          <t>Coastal Logistics</t>
        </is>
      </c>
      <c r="C32" s="12" t="n">
        <v>46304</v>
      </c>
      <c r="D32" s="12" t="n">
        <v>46334</v>
      </c>
      <c r="E32" s="8" t="n">
        <v>151000</v>
      </c>
      <c r="F32">
        <f>IF(B32="","",IFERROR(ROUND(AVERAGEIFS(Paid!$F$5:$F$2000,Paid!$B$5:$B$2000,B32),0),0))</f>
        <v/>
      </c>
      <c r="G32" s="6">
        <f>IF(D32="","",D32+F32)</f>
        <v/>
      </c>
      <c r="H32">
        <f>IF(G32="","",IF(G32&lt;Inputs!$B$9,1,IF(G32&gt;Inputs!$C$21,"Later",MATCH(G32,Inputs!$B$9:$B$21,1))))</f>
        <v/>
      </c>
    </row>
    <row r="33">
      <c r="A33" s="15" t="inlineStr">
        <is>
          <t>INV-10429</t>
        </is>
      </c>
      <c r="B33" s="15" t="inlineStr">
        <is>
          <t>Delta Health Systems</t>
        </is>
      </c>
      <c r="C33" s="12" t="n">
        <v>46335</v>
      </c>
      <c r="D33" s="12" t="n">
        <v>46365</v>
      </c>
      <c r="E33" s="8" t="n">
        <v>117000</v>
      </c>
      <c r="F33">
        <f>IF(B33="","",IFERROR(ROUND(AVERAGEIFS(Paid!$F$5:$F$2000,Paid!$B$5:$B$2000,B33),0),0))</f>
        <v/>
      </c>
      <c r="G33" s="6">
        <f>IF(D33="","",D33+F33)</f>
        <v/>
      </c>
      <c r="H33">
        <f>IF(G33="","",IF(G33&lt;Inputs!$B$9,1,IF(G33&gt;Inputs!$C$21,"Later",MATCH(G33,Inputs!$B$9:$B$21,1))))</f>
        <v/>
      </c>
    </row>
    <row r="34">
      <c r="A34" s="15" t="inlineStr">
        <is>
          <t>INV-10430</t>
        </is>
      </c>
      <c r="B34" s="15" t="inlineStr">
        <is>
          <t>Evergreen Retail</t>
        </is>
      </c>
      <c r="C34" s="12" t="n">
        <v>46327</v>
      </c>
      <c r="D34" s="12" t="n">
        <v>46357</v>
      </c>
      <c r="E34" s="8" t="n">
        <v>67000</v>
      </c>
      <c r="F34">
        <f>IF(B34="","",IFERROR(ROUND(AVERAGEIFS(Paid!$F$5:$F$2000,Paid!$B$5:$B$2000,B34),0),0))</f>
        <v/>
      </c>
      <c r="G34" s="6">
        <f>IF(D34="","",D34+F34)</f>
        <v/>
      </c>
      <c r="H34">
        <f>IF(G34="","",IF(G34&lt;Inputs!$B$9,1,IF(G34&gt;Inputs!$C$21,"Later",MATCH(G34,Inputs!$B$9:$B$21,1))))</f>
        <v/>
      </c>
    </row>
    <row r="35">
      <c r="A35" s="15" t="inlineStr">
        <is>
          <t>INV-10431</t>
        </is>
      </c>
      <c r="B35" s="15" t="inlineStr">
        <is>
          <t>Acme Industrial</t>
        </is>
      </c>
      <c r="C35" s="12" t="n">
        <v>46326</v>
      </c>
      <c r="D35" s="12" t="n">
        <v>46356</v>
      </c>
      <c r="E35" s="8" t="n">
        <v>148000</v>
      </c>
      <c r="F35">
        <f>IF(B35="","",IFERROR(ROUND(AVERAGEIFS(Paid!$F$5:$F$2000,Paid!$B$5:$B$2000,B35),0),0))</f>
        <v/>
      </c>
      <c r="G35" s="6">
        <f>IF(D35="","",D35+F35)</f>
        <v/>
      </c>
      <c r="H35">
        <f>IF(G35="","",IF(G35&lt;Inputs!$B$9,1,IF(G35&gt;Inputs!$C$21,"Later",MATCH(G35,Inputs!$B$9:$B$21,1))))</f>
        <v/>
      </c>
    </row>
    <row r="36">
      <c r="A36" s="15" t="inlineStr">
        <is>
          <t>INV-10432</t>
        </is>
      </c>
      <c r="B36" s="15" t="inlineStr">
        <is>
          <t>Baxter Foods</t>
        </is>
      </c>
      <c r="C36" s="12" t="n">
        <v>46338</v>
      </c>
      <c r="D36" s="12" t="n">
        <v>46368</v>
      </c>
      <c r="E36" s="8" t="n">
        <v>115000</v>
      </c>
      <c r="F36">
        <f>IF(B36="","",IFERROR(ROUND(AVERAGEIFS(Paid!$F$5:$F$2000,Paid!$B$5:$B$2000,B36),0),0))</f>
        <v/>
      </c>
      <c r="G36" s="6">
        <f>IF(D36="","",D36+F36)</f>
        <v/>
      </c>
      <c r="H36">
        <f>IF(G36="","",IF(G36&lt;Inputs!$B$9,1,IF(G36&gt;Inputs!$C$21,"Later",MATCH(G36,Inputs!$B$9:$B$21,1))))</f>
        <v/>
      </c>
    </row>
    <row r="37">
      <c r="A37" s="15" t="inlineStr">
        <is>
          <t>INV-10433</t>
        </is>
      </c>
      <c r="B37" s="15" t="inlineStr">
        <is>
          <t>Coastal Logistics</t>
        </is>
      </c>
      <c r="C37" s="12" t="n">
        <v>46314</v>
      </c>
      <c r="D37" s="12" t="n">
        <v>46344</v>
      </c>
      <c r="E37" s="8" t="n">
        <v>67000</v>
      </c>
      <c r="F37">
        <f>IF(B37="","",IFERROR(ROUND(AVERAGEIFS(Paid!$F$5:$F$2000,Paid!$B$5:$B$2000,B37),0),0))</f>
        <v/>
      </c>
      <c r="G37" s="6">
        <f>IF(D37="","",D37+F37)</f>
        <v/>
      </c>
      <c r="H37">
        <f>IF(G37="","",IF(G37&lt;Inputs!$B$9,1,IF(G37&gt;Inputs!$C$21,"Later",MATCH(G37,Inputs!$B$9:$B$21,1))))</f>
        <v/>
      </c>
    </row>
    <row r="38">
      <c r="A38" s="15" t="inlineStr">
        <is>
          <t>INV-10434</t>
        </is>
      </c>
      <c r="B38" s="15" t="inlineStr">
        <is>
          <t>Delta Health Systems</t>
        </is>
      </c>
      <c r="C38" s="12" t="n">
        <v>46348</v>
      </c>
      <c r="D38" s="12" t="n">
        <v>46378</v>
      </c>
      <c r="E38" s="8" t="n">
        <v>171000</v>
      </c>
      <c r="F38">
        <f>IF(B38="","",IFERROR(ROUND(AVERAGEIFS(Paid!$F$5:$F$2000,Paid!$B$5:$B$2000,B38),0),0))</f>
        <v/>
      </c>
      <c r="G38" s="6">
        <f>IF(D38="","",D38+F38)</f>
        <v/>
      </c>
      <c r="H38">
        <f>IF(G38="","",IF(G38&lt;Inputs!$B$9,1,IF(G38&gt;Inputs!$C$21,"Later",MATCH(G38,Inputs!$B$9:$B$21,1))))</f>
        <v/>
      </c>
    </row>
    <row r="39">
      <c r="A39" s="15" t="inlineStr">
        <is>
          <t>INV-10435</t>
        </is>
      </c>
      <c r="B39" s="15" t="inlineStr">
        <is>
          <t>Evergreen Retail</t>
        </is>
      </c>
      <c r="C39" s="12" t="n">
        <v>46339</v>
      </c>
      <c r="D39" s="12" t="n">
        <v>46369</v>
      </c>
      <c r="E39" s="8" t="n">
        <v>133000</v>
      </c>
      <c r="F39">
        <f>IF(B39="","",IFERROR(ROUND(AVERAGEIFS(Paid!$F$5:$F$2000,Paid!$B$5:$B$2000,B39),0),0))</f>
        <v/>
      </c>
      <c r="G39" s="6">
        <f>IF(D39="","",D39+F39)</f>
        <v/>
      </c>
      <c r="H39">
        <f>IF(G39="","",IF(G39&lt;Inputs!$B$9,1,IF(G39&gt;Inputs!$C$21,"Later",MATCH(G39,Inputs!$B$9:$B$21,1))))</f>
        <v/>
      </c>
    </row>
    <row r="40">
      <c r="A40" s="15" t="inlineStr">
        <is>
          <t>INV-10436</t>
        </is>
      </c>
      <c r="B40" s="15" t="inlineStr">
        <is>
          <t>Acme Industrial</t>
        </is>
      </c>
      <c r="C40" s="12" t="n">
        <v>46336</v>
      </c>
      <c r="D40" s="12" t="n">
        <v>46366</v>
      </c>
      <c r="E40" s="8" t="n">
        <v>76000</v>
      </c>
      <c r="F40">
        <f>IF(B40="","",IFERROR(ROUND(AVERAGEIFS(Paid!$F$5:$F$2000,Paid!$B$5:$B$2000,B40),0),0))</f>
        <v/>
      </c>
      <c r="G40" s="6">
        <f>IF(D40="","",D40+F40)</f>
        <v/>
      </c>
      <c r="H40">
        <f>IF(G40="","",IF(G40&lt;Inputs!$B$9,1,IF(G40&gt;Inputs!$C$21,"Later",MATCH(G40,Inputs!$B$9:$B$21,1))))</f>
        <v/>
      </c>
    </row>
    <row r="41">
      <c r="A41" s="15" t="inlineStr">
        <is>
          <t>INV-10437</t>
        </is>
      </c>
      <c r="B41" s="15" t="inlineStr">
        <is>
          <t>Baxter Foods</t>
        </is>
      </c>
      <c r="C41" s="12" t="n">
        <v>46351</v>
      </c>
      <c r="D41" s="12" t="n">
        <v>46381</v>
      </c>
      <c r="E41" s="8" t="n">
        <v>162000</v>
      </c>
      <c r="F41">
        <f>IF(B41="","",IFERROR(ROUND(AVERAGEIFS(Paid!$F$5:$F$2000,Paid!$B$5:$B$2000,B41),0),0))</f>
        <v/>
      </c>
      <c r="G41" s="6">
        <f>IF(D41="","",D41+F41)</f>
        <v/>
      </c>
      <c r="H41">
        <f>IF(G41="","",IF(G41&lt;Inputs!$B$9,1,IF(G41&gt;Inputs!$C$21,"Later",MATCH(G41,Inputs!$B$9:$B$21,1))))</f>
        <v/>
      </c>
    </row>
    <row r="42">
      <c r="A42" s="15" t="inlineStr">
        <is>
          <t>INV-10438</t>
        </is>
      </c>
      <c r="B42" s="15" t="inlineStr">
        <is>
          <t>Coastal Logistics</t>
        </is>
      </c>
      <c r="C42" s="12" t="n">
        <v>46326</v>
      </c>
      <c r="D42" s="12" t="n">
        <v>46356</v>
      </c>
      <c r="E42" s="8" t="n">
        <v>126000</v>
      </c>
      <c r="F42">
        <f>IF(B42="","",IFERROR(ROUND(AVERAGEIFS(Paid!$F$5:$F$2000,Paid!$B$5:$B$2000,B42),0),0))</f>
        <v/>
      </c>
      <c r="G42" s="6">
        <f>IF(D42="","",D42+F42)</f>
        <v/>
      </c>
      <c r="H42">
        <f>IF(G42="","",IF(G42&lt;Inputs!$B$9,1,IF(G42&gt;Inputs!$C$21,"Later",MATCH(G42,Inputs!$B$9:$B$21,1))))</f>
        <v/>
      </c>
    </row>
    <row r="43">
      <c r="A43" s="15" t="inlineStr">
        <is>
          <t>INV-10439</t>
        </is>
      </c>
      <c r="B43" s="15" t="inlineStr">
        <is>
          <t>Delta Health Systems</t>
        </is>
      </c>
      <c r="C43" s="12" t="n">
        <v>46358</v>
      </c>
      <c r="D43" s="12" t="n">
        <v>46388</v>
      </c>
      <c r="E43" s="8" t="n">
        <v>72000</v>
      </c>
      <c r="F43">
        <f>IF(B43="","",IFERROR(ROUND(AVERAGEIFS(Paid!$F$5:$F$2000,Paid!$B$5:$B$2000,B43),0),0))</f>
        <v/>
      </c>
      <c r="G43" s="6">
        <f>IF(D43="","",D43+F43)</f>
        <v/>
      </c>
      <c r="H43">
        <f>IF(G43="","",IF(G43&lt;Inputs!$B$9,1,IF(G43&gt;Inputs!$C$21,"Later",MATCH(G43,Inputs!$B$9:$B$21,1))))</f>
        <v/>
      </c>
    </row>
    <row r="44">
      <c r="A44" s="15" t="inlineStr">
        <is>
          <t>INV-10440</t>
        </is>
      </c>
      <c r="B44" s="15" t="inlineStr">
        <is>
          <t>Baxter Foods</t>
        </is>
      </c>
      <c r="C44" s="12" t="n">
        <v>46365</v>
      </c>
      <c r="D44" s="12" t="n">
        <v>46395</v>
      </c>
      <c r="E44" s="8" t="n">
        <v>140000</v>
      </c>
      <c r="F44">
        <f>IF(B44="","",IFERROR(ROUND(AVERAGEIFS(Paid!$F$5:$F$2000,Paid!$B$5:$B$2000,B44),0),0))</f>
        <v/>
      </c>
      <c r="G44" s="6">
        <f>IF(D44="","",D44+F44)</f>
        <v/>
      </c>
      <c r="H44">
        <f>IF(G44="","",IF(G44&lt;Inputs!$B$9,1,IF(G44&gt;Inputs!$C$21,"Later",MATCH(G44,Inputs!$B$9:$B$21,1))))</f>
        <v/>
      </c>
    </row>
    <row r="45">
      <c r="A45" s="15" t="inlineStr">
        <is>
          <t>INV-10441</t>
        </is>
      </c>
      <c r="B45" s="15" t="inlineStr">
        <is>
          <t>Acme Industrial</t>
        </is>
      </c>
      <c r="C45" s="12" t="n">
        <v>46362</v>
      </c>
      <c r="D45" s="12" t="n">
        <v>46392</v>
      </c>
      <c r="E45" s="8" t="n">
        <v>95000</v>
      </c>
      <c r="F45">
        <f>IF(B45="","",IFERROR(ROUND(AVERAGEIFS(Paid!$F$5:$F$2000,Paid!$B$5:$B$2000,B45),0),0))</f>
        <v/>
      </c>
      <c r="G45" s="6">
        <f>IF(D45="","",D45+F45)</f>
        <v/>
      </c>
      <c r="H45">
        <f>IF(G45="","",IF(G45&lt;Inputs!$B$9,1,IF(G45&gt;Inputs!$C$21,"Later",MATCH(G45,Inputs!$B$9:$B$21,1))))</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0"/>
  <sheetViews>
    <sheetView workbookViewId="0">
      <pane ySplit="4" topLeftCell="A5" activePane="bottomLeft" state="frozen"/>
      <selection pane="bottomLeft" activeCell="A1" sqref="A1"/>
    </sheetView>
  </sheetViews>
  <sheetFormatPr baseColWidth="8" defaultRowHeight="15"/>
  <cols>
    <col width="10" customWidth="1" min="1" max="1"/>
    <col width="24" customWidth="1" min="2" max="2"/>
    <col width="12" customWidth="1" min="3" max="3"/>
    <col width="12" customWidth="1" min="4" max="4"/>
    <col width="14" customWidth="1" min="5" max="5"/>
    <col width="13" customWidth="1" min="6" max="6"/>
    <col width="8" customWidth="1" min="7" max="7"/>
  </cols>
  <sheetData>
    <row r="1">
      <c r="A1" s="1" t="inlineStr">
        <is>
          <t>Open payables</t>
        </is>
      </c>
    </row>
    <row r="2">
      <c r="A2" s="3" t="inlineStr">
        <is>
          <t>Type the planned payment date in column E. Week from the Inputs dates.</t>
        </is>
      </c>
    </row>
    <row r="4">
      <c r="A4" s="4" t="inlineStr">
        <is>
          <t>Bill</t>
        </is>
      </c>
      <c r="B4" s="4" t="inlineStr">
        <is>
          <t>Vendor</t>
        </is>
      </c>
      <c r="C4" s="4" t="inlineStr">
        <is>
          <t>Bill date</t>
        </is>
      </c>
      <c r="D4" s="4" t="inlineStr">
        <is>
          <t>Due date</t>
        </is>
      </c>
      <c r="E4" s="4" t="inlineStr">
        <is>
          <t>Planned payment date</t>
        </is>
      </c>
      <c r="F4" s="4" t="inlineStr">
        <is>
          <t>Amount</t>
        </is>
      </c>
      <c r="G4" s="4" t="inlineStr">
        <is>
          <t>Week</t>
        </is>
      </c>
    </row>
    <row r="5">
      <c r="A5" s="15" t="inlineStr">
        <is>
          <t>B-7701</t>
        </is>
      </c>
      <c r="B5" s="15" t="inlineStr">
        <is>
          <t>Northline Packaging</t>
        </is>
      </c>
      <c r="C5" s="12" t="n">
        <v>46271</v>
      </c>
      <c r="D5" s="12" t="n">
        <v>46301</v>
      </c>
      <c r="E5" s="12" t="n">
        <v>46301</v>
      </c>
      <c r="F5" s="8" t="n">
        <v>132000</v>
      </c>
      <c r="G5">
        <f>IF(E5="","",IF(E5&lt;Inputs!$B$9,1,IF(E5&gt;Inputs!$C$21,"Later",MATCH(E5,Inputs!$B$9:$B$21,1))))</f>
        <v/>
      </c>
    </row>
    <row r="6">
      <c r="A6" s="15" t="inlineStr">
        <is>
          <t>B-7702</t>
        </is>
      </c>
      <c r="B6" s="15" t="inlineStr">
        <is>
          <t>Summit Components</t>
        </is>
      </c>
      <c r="C6" s="12" t="n">
        <v>46273</v>
      </c>
      <c r="D6" s="12" t="n">
        <v>46303</v>
      </c>
      <c r="E6" s="12" t="n">
        <v>46303</v>
      </c>
      <c r="F6" s="8" t="n">
        <v>88000</v>
      </c>
      <c r="G6">
        <f>IF(E6="","",IF(E6&lt;Inputs!$B$9,1,IF(E6&gt;Inputs!$C$21,"Later",MATCH(E6,Inputs!$B$9:$B$21,1))))</f>
        <v/>
      </c>
    </row>
    <row r="7">
      <c r="A7" s="15" t="inlineStr">
        <is>
          <t>B-7703</t>
        </is>
      </c>
      <c r="B7" s="15" t="inlineStr">
        <is>
          <t>Harbor Freight Lines</t>
        </is>
      </c>
      <c r="C7" s="12" t="n">
        <v>46278</v>
      </c>
      <c r="D7" s="12" t="n">
        <v>46308</v>
      </c>
      <c r="E7" s="12" t="n">
        <v>46308</v>
      </c>
      <c r="F7" s="8" t="n">
        <v>114000</v>
      </c>
      <c r="G7">
        <f>IF(E7="","",IF(E7&lt;Inputs!$B$9,1,IF(E7&gt;Inputs!$C$21,"Later",MATCH(E7,Inputs!$B$9:$B$21,1))))</f>
        <v/>
      </c>
    </row>
    <row r="8">
      <c r="A8" s="15" t="inlineStr">
        <is>
          <t>B-7704</t>
        </is>
      </c>
      <c r="B8" s="15" t="inlineStr">
        <is>
          <t>Keystone Metals</t>
        </is>
      </c>
      <c r="C8" s="12" t="n">
        <v>46280</v>
      </c>
      <c r="D8" s="12" t="n">
        <v>46310</v>
      </c>
      <c r="E8" s="12" t="n">
        <v>46310</v>
      </c>
      <c r="F8" s="8" t="n">
        <v>76000</v>
      </c>
      <c r="G8">
        <f>IF(E8="","",IF(E8&lt;Inputs!$B$9,1,IF(E8&gt;Inputs!$C$21,"Later",MATCH(E8,Inputs!$B$9:$B$21,1))))</f>
        <v/>
      </c>
    </row>
    <row r="9">
      <c r="A9" s="15" t="inlineStr">
        <is>
          <t>B-7705</t>
        </is>
      </c>
      <c r="B9" s="15" t="inlineStr">
        <is>
          <t>Northline Packaging</t>
        </is>
      </c>
      <c r="C9" s="12" t="n">
        <v>46285</v>
      </c>
      <c r="D9" s="12" t="n">
        <v>46315</v>
      </c>
      <c r="E9" s="12" t="n">
        <v>46315</v>
      </c>
      <c r="F9" s="8" t="n">
        <v>126000</v>
      </c>
      <c r="G9">
        <f>IF(E9="","",IF(E9&lt;Inputs!$B$9,1,IF(E9&gt;Inputs!$C$21,"Later",MATCH(E9,Inputs!$B$9:$B$21,1))))</f>
        <v/>
      </c>
    </row>
    <row r="10">
      <c r="A10" s="15" t="inlineStr">
        <is>
          <t>B-7706</t>
        </is>
      </c>
      <c r="B10" s="15" t="inlineStr">
        <is>
          <t>Summit Components</t>
        </is>
      </c>
      <c r="C10" s="12" t="n">
        <v>46287</v>
      </c>
      <c r="D10" s="12" t="n">
        <v>46317</v>
      </c>
      <c r="E10" s="12" t="n">
        <v>46317</v>
      </c>
      <c r="F10" s="8" t="n">
        <v>84000</v>
      </c>
      <c r="G10">
        <f>IF(E10="","",IF(E10&lt;Inputs!$B$9,1,IF(E10&gt;Inputs!$C$21,"Later",MATCH(E10,Inputs!$B$9:$B$21,1))))</f>
        <v/>
      </c>
    </row>
    <row r="11">
      <c r="A11" s="15" t="inlineStr">
        <is>
          <t>B-7707</t>
        </is>
      </c>
      <c r="B11" s="15" t="inlineStr">
        <is>
          <t>Harbor Freight Lines</t>
        </is>
      </c>
      <c r="C11" s="12" t="n">
        <v>46292</v>
      </c>
      <c r="D11" s="12" t="n">
        <v>46322</v>
      </c>
      <c r="E11" s="12" t="n">
        <v>46322</v>
      </c>
      <c r="F11" s="8" t="n">
        <v>144000</v>
      </c>
      <c r="G11">
        <f>IF(E11="","",IF(E11&lt;Inputs!$B$9,1,IF(E11&gt;Inputs!$C$21,"Later",MATCH(E11,Inputs!$B$9:$B$21,1))))</f>
        <v/>
      </c>
    </row>
    <row r="12">
      <c r="A12" s="15" t="inlineStr">
        <is>
          <t>B-7708</t>
        </is>
      </c>
      <c r="B12" s="15" t="inlineStr">
        <is>
          <t>Keystone Metals</t>
        </is>
      </c>
      <c r="C12" s="12" t="n">
        <v>46294</v>
      </c>
      <c r="D12" s="12" t="n">
        <v>46324</v>
      </c>
      <c r="E12" s="12" t="n">
        <v>46324</v>
      </c>
      <c r="F12" s="8" t="n">
        <v>96000</v>
      </c>
      <c r="G12">
        <f>IF(E12="","",IF(E12&lt;Inputs!$B$9,1,IF(E12&gt;Inputs!$C$21,"Later",MATCH(E12,Inputs!$B$9:$B$21,1))))</f>
        <v/>
      </c>
    </row>
    <row r="13">
      <c r="A13" s="15" t="inlineStr">
        <is>
          <t>B-7709</t>
        </is>
      </c>
      <c r="B13" s="15" t="inlineStr">
        <is>
          <t>Northline Packaging</t>
        </is>
      </c>
      <c r="C13" s="12" t="n">
        <v>46299</v>
      </c>
      <c r="D13" s="12" t="n">
        <v>46329</v>
      </c>
      <c r="E13" s="12" t="n">
        <v>46329</v>
      </c>
      <c r="F13" s="8" t="n">
        <v>120000</v>
      </c>
      <c r="G13">
        <f>IF(E13="","",IF(E13&lt;Inputs!$B$9,1,IF(E13&gt;Inputs!$C$21,"Later",MATCH(E13,Inputs!$B$9:$B$21,1))))</f>
        <v/>
      </c>
    </row>
    <row r="14">
      <c r="A14" s="15" t="inlineStr">
        <is>
          <t>B-7710</t>
        </is>
      </c>
      <c r="B14" s="15" t="inlineStr">
        <is>
          <t>Summit Components</t>
        </is>
      </c>
      <c r="C14" s="12" t="n">
        <v>46301</v>
      </c>
      <c r="D14" s="12" t="n">
        <v>46331</v>
      </c>
      <c r="E14" s="12" t="n">
        <v>46331</v>
      </c>
      <c r="F14" s="8" t="n">
        <v>80000</v>
      </c>
      <c r="G14">
        <f>IF(E14="","",IF(E14&lt;Inputs!$B$9,1,IF(E14&gt;Inputs!$C$21,"Later",MATCH(E14,Inputs!$B$9:$B$21,1))))</f>
        <v/>
      </c>
    </row>
    <row r="15">
      <c r="A15" s="15" t="inlineStr">
        <is>
          <t>B-7711</t>
        </is>
      </c>
      <c r="B15" s="15" t="inlineStr">
        <is>
          <t>Harbor Freight Lines</t>
        </is>
      </c>
      <c r="C15" s="12" t="n">
        <v>46306</v>
      </c>
      <c r="D15" s="12" t="n">
        <v>46336</v>
      </c>
      <c r="E15" s="12" t="n">
        <v>46336</v>
      </c>
      <c r="F15" s="8" t="n">
        <v>111000</v>
      </c>
      <c r="G15">
        <f>IF(E15="","",IF(E15&lt;Inputs!$B$9,1,IF(E15&gt;Inputs!$C$21,"Later",MATCH(E15,Inputs!$B$9:$B$21,1))))</f>
        <v/>
      </c>
    </row>
    <row r="16">
      <c r="A16" s="15" t="inlineStr">
        <is>
          <t>B-7712</t>
        </is>
      </c>
      <c r="B16" s="15" t="inlineStr">
        <is>
          <t>Keystone Metals</t>
        </is>
      </c>
      <c r="C16" s="12" t="n">
        <v>46308</v>
      </c>
      <c r="D16" s="12" t="n">
        <v>46338</v>
      </c>
      <c r="E16" s="12" t="n">
        <v>46338</v>
      </c>
      <c r="F16" s="8" t="n">
        <v>74000</v>
      </c>
      <c r="G16">
        <f>IF(E16="","",IF(E16&lt;Inputs!$B$9,1,IF(E16&gt;Inputs!$C$21,"Later",MATCH(E16,Inputs!$B$9:$B$21,1))))</f>
        <v/>
      </c>
    </row>
    <row r="17">
      <c r="A17" s="15" t="inlineStr">
        <is>
          <t>B-7713</t>
        </is>
      </c>
      <c r="B17" s="15" t="inlineStr">
        <is>
          <t>Northline Packaging</t>
        </is>
      </c>
      <c r="C17" s="12" t="n">
        <v>46313</v>
      </c>
      <c r="D17" s="12" t="n">
        <v>46343</v>
      </c>
      <c r="E17" s="12" t="n">
        <v>46343</v>
      </c>
      <c r="F17" s="8" t="n">
        <v>123000</v>
      </c>
      <c r="G17">
        <f>IF(E17="","",IF(E17&lt;Inputs!$B$9,1,IF(E17&gt;Inputs!$C$21,"Later",MATCH(E17,Inputs!$B$9:$B$21,1))))</f>
        <v/>
      </c>
    </row>
    <row r="18">
      <c r="A18" s="15" t="inlineStr">
        <is>
          <t>B-7714</t>
        </is>
      </c>
      <c r="B18" s="15" t="inlineStr">
        <is>
          <t>Summit Components</t>
        </is>
      </c>
      <c r="C18" s="12" t="n">
        <v>46315</v>
      </c>
      <c r="D18" s="12" t="n">
        <v>46345</v>
      </c>
      <c r="E18" s="12" t="n">
        <v>46345</v>
      </c>
      <c r="F18" s="8" t="n">
        <v>82000</v>
      </c>
      <c r="G18">
        <f>IF(E18="","",IF(E18&lt;Inputs!$B$9,1,IF(E18&gt;Inputs!$C$21,"Later",MATCH(E18,Inputs!$B$9:$B$21,1))))</f>
        <v/>
      </c>
    </row>
    <row r="19">
      <c r="A19" s="15" t="inlineStr">
        <is>
          <t>B-7715</t>
        </is>
      </c>
      <c r="B19" s="15" t="inlineStr">
        <is>
          <t>Harbor Freight Lines</t>
        </is>
      </c>
      <c r="C19" s="12" t="n">
        <v>46320</v>
      </c>
      <c r="D19" s="12" t="n">
        <v>46350</v>
      </c>
      <c r="E19" s="12" t="n">
        <v>46350</v>
      </c>
      <c r="F19" s="8" t="n">
        <v>129000</v>
      </c>
      <c r="G19">
        <f>IF(E19="","",IF(E19&lt;Inputs!$B$9,1,IF(E19&gt;Inputs!$C$21,"Later",MATCH(E19,Inputs!$B$9:$B$21,1))))</f>
        <v/>
      </c>
    </row>
    <row r="20">
      <c r="A20" s="15" t="inlineStr">
        <is>
          <t>B-7716</t>
        </is>
      </c>
      <c r="B20" s="15" t="inlineStr">
        <is>
          <t>Keystone Metals</t>
        </is>
      </c>
      <c r="C20" s="12" t="n">
        <v>46322</v>
      </c>
      <c r="D20" s="12" t="n">
        <v>46352</v>
      </c>
      <c r="E20" s="12" t="n">
        <v>46352</v>
      </c>
      <c r="F20" s="8" t="n">
        <v>86000</v>
      </c>
      <c r="G20">
        <f>IF(E20="","",IF(E20&lt;Inputs!$B$9,1,IF(E20&gt;Inputs!$C$21,"Later",MATCH(E20,Inputs!$B$9:$B$21,1))))</f>
        <v/>
      </c>
    </row>
    <row r="21">
      <c r="A21" s="15" t="inlineStr">
        <is>
          <t>B-7717</t>
        </is>
      </c>
      <c r="B21" s="15" t="inlineStr">
        <is>
          <t>Northline Packaging</t>
        </is>
      </c>
      <c r="C21" s="12" t="n">
        <v>46327</v>
      </c>
      <c r="D21" s="12" t="n">
        <v>46357</v>
      </c>
      <c r="E21" s="12" t="n">
        <v>46357</v>
      </c>
      <c r="F21" s="8" t="n">
        <v>117000</v>
      </c>
      <c r="G21">
        <f>IF(E21="","",IF(E21&lt;Inputs!$B$9,1,IF(E21&gt;Inputs!$C$21,"Later",MATCH(E21,Inputs!$B$9:$B$21,1))))</f>
        <v/>
      </c>
    </row>
    <row r="22">
      <c r="A22" s="15" t="inlineStr">
        <is>
          <t>B-7718</t>
        </is>
      </c>
      <c r="B22" s="15" t="inlineStr">
        <is>
          <t>Summit Components</t>
        </is>
      </c>
      <c r="C22" s="12" t="n">
        <v>46329</v>
      </c>
      <c r="D22" s="12" t="n">
        <v>46359</v>
      </c>
      <c r="E22" s="12" t="n">
        <v>46359</v>
      </c>
      <c r="F22" s="8" t="n">
        <v>78000</v>
      </c>
      <c r="G22">
        <f>IF(E22="","",IF(E22&lt;Inputs!$B$9,1,IF(E22&gt;Inputs!$C$21,"Later",MATCH(E22,Inputs!$B$9:$B$21,1))))</f>
        <v/>
      </c>
    </row>
    <row r="23">
      <c r="A23" s="15" t="inlineStr">
        <is>
          <t>B-7719</t>
        </is>
      </c>
      <c r="B23" s="15" t="inlineStr">
        <is>
          <t>Harbor Freight Lines</t>
        </is>
      </c>
      <c r="C23" s="12" t="n">
        <v>46334</v>
      </c>
      <c r="D23" s="12" t="n">
        <v>46364</v>
      </c>
      <c r="E23" s="12" t="n">
        <v>46364</v>
      </c>
      <c r="F23" s="8" t="n">
        <v>108000</v>
      </c>
      <c r="G23">
        <f>IF(E23="","",IF(E23&lt;Inputs!$B$9,1,IF(E23&gt;Inputs!$C$21,"Later",MATCH(E23,Inputs!$B$9:$B$21,1))))</f>
        <v/>
      </c>
    </row>
    <row r="24">
      <c r="A24" s="15" t="inlineStr">
        <is>
          <t>B-7720</t>
        </is>
      </c>
      <c r="B24" s="15" t="inlineStr">
        <is>
          <t>Keystone Metals</t>
        </is>
      </c>
      <c r="C24" s="12" t="n">
        <v>46336</v>
      </c>
      <c r="D24" s="12" t="n">
        <v>46366</v>
      </c>
      <c r="E24" s="12" t="n">
        <v>46366</v>
      </c>
      <c r="F24" s="8" t="n">
        <v>72000</v>
      </c>
      <c r="G24">
        <f>IF(E24="","",IF(E24&lt;Inputs!$B$9,1,IF(E24&gt;Inputs!$C$21,"Later",MATCH(E24,Inputs!$B$9:$B$21,1))))</f>
        <v/>
      </c>
    </row>
    <row r="25">
      <c r="A25" s="15" t="inlineStr">
        <is>
          <t>B-7721</t>
        </is>
      </c>
      <c r="B25" s="15" t="inlineStr">
        <is>
          <t>Northline Packaging</t>
        </is>
      </c>
      <c r="C25" s="12" t="n">
        <v>46341</v>
      </c>
      <c r="D25" s="12" t="n">
        <v>46371</v>
      </c>
      <c r="E25" s="12" t="n">
        <v>46371</v>
      </c>
      <c r="F25" s="8" t="n">
        <v>120000</v>
      </c>
      <c r="G25">
        <f>IF(E25="","",IF(E25&lt;Inputs!$B$9,1,IF(E25&gt;Inputs!$C$21,"Later",MATCH(E25,Inputs!$B$9:$B$21,1))))</f>
        <v/>
      </c>
    </row>
    <row r="26">
      <c r="A26" s="15" t="inlineStr">
        <is>
          <t>B-7722</t>
        </is>
      </c>
      <c r="B26" s="15" t="inlineStr">
        <is>
          <t>Summit Components</t>
        </is>
      </c>
      <c r="C26" s="12" t="n">
        <v>46343</v>
      </c>
      <c r="D26" s="12" t="n">
        <v>46373</v>
      </c>
      <c r="E26" s="12" t="n">
        <v>46373</v>
      </c>
      <c r="F26" s="8" t="n">
        <v>80000</v>
      </c>
      <c r="G26">
        <f>IF(E26="","",IF(E26&lt;Inputs!$B$9,1,IF(E26&gt;Inputs!$C$21,"Later",MATCH(E26,Inputs!$B$9:$B$21,1))))</f>
        <v/>
      </c>
    </row>
    <row r="27">
      <c r="A27" s="15" t="inlineStr">
        <is>
          <t>B-7723</t>
        </is>
      </c>
      <c r="B27" s="15" t="inlineStr">
        <is>
          <t>Harbor Freight Lines</t>
        </is>
      </c>
      <c r="C27" s="12" t="n">
        <v>46348</v>
      </c>
      <c r="D27" s="12" t="n">
        <v>46378</v>
      </c>
      <c r="E27" s="12" t="n">
        <v>46378</v>
      </c>
      <c r="F27" s="8" t="n">
        <v>102000</v>
      </c>
      <c r="G27">
        <f>IF(E27="","",IF(E27&lt;Inputs!$B$9,1,IF(E27&gt;Inputs!$C$21,"Later",MATCH(E27,Inputs!$B$9:$B$21,1))))</f>
        <v/>
      </c>
    </row>
    <row r="28">
      <c r="A28" s="15" t="inlineStr">
        <is>
          <t>B-7724</t>
        </is>
      </c>
      <c r="B28" s="15" t="inlineStr">
        <is>
          <t>Keystone Metals</t>
        </is>
      </c>
      <c r="C28" s="12" t="n">
        <v>46350</v>
      </c>
      <c r="D28" s="12" t="n">
        <v>46380</v>
      </c>
      <c r="E28" s="12" t="n">
        <v>46380</v>
      </c>
      <c r="F28" s="8" t="n">
        <v>68000</v>
      </c>
      <c r="G28">
        <f>IF(E28="","",IF(E28&lt;Inputs!$B$9,1,IF(E28&gt;Inputs!$C$21,"Later",MATCH(E28,Inputs!$B$9:$B$21,1))))</f>
        <v/>
      </c>
    </row>
    <row r="29">
      <c r="A29" s="15" t="inlineStr">
        <is>
          <t>B-7725</t>
        </is>
      </c>
      <c r="B29" s="15" t="inlineStr">
        <is>
          <t>Northline Packaging</t>
        </is>
      </c>
      <c r="C29" s="12" t="n">
        <v>46355</v>
      </c>
      <c r="D29" s="12" t="n">
        <v>46385</v>
      </c>
      <c r="E29" s="12" t="n">
        <v>46385</v>
      </c>
      <c r="F29" s="8" t="n">
        <v>114000</v>
      </c>
      <c r="G29">
        <f>IF(E29="","",IF(E29&lt;Inputs!$B$9,1,IF(E29&gt;Inputs!$C$21,"Later",MATCH(E29,Inputs!$B$9:$B$21,1))))</f>
        <v/>
      </c>
    </row>
    <row r="30">
      <c r="A30" s="15" t="inlineStr">
        <is>
          <t>B-7726</t>
        </is>
      </c>
      <c r="B30" s="15" t="inlineStr">
        <is>
          <t>Summit Components</t>
        </is>
      </c>
      <c r="C30" s="12" t="n">
        <v>46357</v>
      </c>
      <c r="D30" s="12" t="n">
        <v>46387</v>
      </c>
      <c r="E30" s="12" t="n">
        <v>46387</v>
      </c>
      <c r="F30" s="8" t="n">
        <v>76000</v>
      </c>
      <c r="G30">
        <f>IF(E30="","",IF(E30&lt;Inputs!$B$9,1,IF(E30&gt;Inputs!$C$21,"Later",MATCH(E30,Inputs!$B$9:$B$21,1))))</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7"/>
  <sheetViews>
    <sheetView workbookViewId="0">
      <pane ySplit="4" topLeftCell="A5" activePane="bottomLeft" state="frozen"/>
      <selection pane="bottomLeft" activeCell="A1" sqref="A1"/>
    </sheetView>
  </sheetViews>
  <sheetFormatPr baseColWidth="8" defaultRowHeight="15"/>
  <cols>
    <col width="12" customWidth="1" min="1" max="1"/>
    <col width="44" customWidth="1" min="2" max="2"/>
    <col width="22" customWidth="1" min="3" max="3"/>
    <col width="13" customWidth="1" min="4" max="4"/>
    <col width="8" customWidth="1" min="5" max="5"/>
  </cols>
  <sheetData>
    <row r="1">
      <c r="A1" s="1" t="inlineStr">
        <is>
          <t>Fixed and scheduled payments</t>
        </is>
      </c>
    </row>
    <row r="2">
      <c r="A2" s="3" t="inlineStr">
        <is>
          <t>Line must be Payroll, Other opex or Tax and debt service.</t>
        </is>
      </c>
    </row>
    <row r="4">
      <c r="A4" s="4" t="inlineStr">
        <is>
          <t>Date</t>
        </is>
      </c>
      <c r="B4" s="4" t="inlineStr">
        <is>
          <t>Description</t>
        </is>
      </c>
      <c r="C4" s="4" t="inlineStr">
        <is>
          <t>Line</t>
        </is>
      </c>
      <c r="D4" s="4" t="inlineStr">
        <is>
          <t>Amount</t>
        </is>
      </c>
      <c r="E4" s="4" t="inlineStr">
        <is>
          <t>Week</t>
        </is>
      </c>
    </row>
    <row r="5">
      <c r="A5" s="12" t="n">
        <v>46304</v>
      </c>
      <c r="B5" s="15" t="inlineStr">
        <is>
          <t>Rent, utilities, software and other opex</t>
        </is>
      </c>
      <c r="C5" s="15" t="inlineStr">
        <is>
          <t>Other opex</t>
        </is>
      </c>
      <c r="D5" s="8" t="n">
        <v>40000</v>
      </c>
      <c r="E5">
        <f>IF(A5="","",IF(A5&lt;Inputs!$B$9,1,IF(A5&gt;Inputs!$C$21,"Later",MATCH(A5,Inputs!$B$9:$B$21,1))))</f>
        <v/>
      </c>
    </row>
    <row r="6">
      <c r="A6" s="12" t="n">
        <v>46311</v>
      </c>
      <c r="B6" s="15" t="inlineStr">
        <is>
          <t>Payroll and payroll taxes (biweekly)</t>
        </is>
      </c>
      <c r="C6" s="15" t="inlineStr">
        <is>
          <t>Payroll</t>
        </is>
      </c>
      <c r="D6" s="8" t="n">
        <v>180000</v>
      </c>
      <c r="E6">
        <f>IF(A6="","",IF(A6&lt;Inputs!$B$9,1,IF(A6&gt;Inputs!$C$21,"Later",MATCH(A6,Inputs!$B$9:$B$21,1))))</f>
        <v/>
      </c>
    </row>
    <row r="7">
      <c r="A7" s="12" t="n">
        <v>46311</v>
      </c>
      <c r="B7" s="15" t="inlineStr">
        <is>
          <t>Rent, utilities, software and other opex</t>
        </is>
      </c>
      <c r="C7" s="15" t="inlineStr">
        <is>
          <t>Other opex</t>
        </is>
      </c>
      <c r="D7" s="8" t="n">
        <v>35000</v>
      </c>
      <c r="E7">
        <f>IF(A7="","",IF(A7&lt;Inputs!$B$9,1,IF(A7&gt;Inputs!$C$21,"Later",MATCH(A7,Inputs!$B$9:$B$21,1))))</f>
        <v/>
      </c>
    </row>
    <row r="8">
      <c r="A8" s="12" t="n">
        <v>46315</v>
      </c>
      <c r="B8" s="15" t="inlineStr">
        <is>
          <t>Sales tax remittance (quarterly return)</t>
        </is>
      </c>
      <c r="C8" s="15" t="inlineStr">
        <is>
          <t>Tax and debt service</t>
        </is>
      </c>
      <c r="D8" s="8" t="n">
        <v>60000</v>
      </c>
      <c r="E8">
        <f>IF(A8="","",IF(A8&lt;Inputs!$B$9,1,IF(A8&gt;Inputs!$C$21,"Later",MATCH(A8,Inputs!$B$9:$B$21,1))))</f>
        <v/>
      </c>
    </row>
    <row r="9">
      <c r="A9" s="12" t="n">
        <v>46318</v>
      </c>
      <c r="B9" s="15" t="inlineStr">
        <is>
          <t>Rent, utilities, software and other opex</t>
        </is>
      </c>
      <c r="C9" s="15" t="inlineStr">
        <is>
          <t>Other opex</t>
        </is>
      </c>
      <c r="D9" s="8" t="n">
        <v>38000</v>
      </c>
      <c r="E9">
        <f>IF(A9="","",IF(A9&lt;Inputs!$B$9,1,IF(A9&gt;Inputs!$C$21,"Later",MATCH(A9,Inputs!$B$9:$B$21,1))))</f>
        <v/>
      </c>
    </row>
    <row r="10">
      <c r="A10" s="12" t="n">
        <v>46325</v>
      </c>
      <c r="B10" s="15" t="inlineStr">
        <is>
          <t>Payroll and payroll taxes (biweekly)</t>
        </is>
      </c>
      <c r="C10" s="15" t="inlineStr">
        <is>
          <t>Payroll</t>
        </is>
      </c>
      <c r="D10" s="8" t="n">
        <v>180000</v>
      </c>
      <c r="E10">
        <f>IF(A10="","",IF(A10&lt;Inputs!$B$9,1,IF(A10&gt;Inputs!$C$21,"Later",MATCH(A10,Inputs!$B$9:$B$21,1))))</f>
        <v/>
      </c>
    </row>
    <row r="11">
      <c r="A11" s="12" t="n">
        <v>46325</v>
      </c>
      <c r="B11" s="15" t="inlineStr">
        <is>
          <t>Rent, utilities, software and other opex</t>
        </is>
      </c>
      <c r="C11" s="15" t="inlineStr">
        <is>
          <t>Other opex</t>
        </is>
      </c>
      <c r="D11" s="8" t="n">
        <v>42000</v>
      </c>
      <c r="E11">
        <f>IF(A11="","",IF(A11&lt;Inputs!$B$9,1,IF(A11&gt;Inputs!$C$21,"Later",MATCH(A11,Inputs!$B$9:$B$21,1))))</f>
        <v/>
      </c>
    </row>
    <row r="12">
      <c r="A12" s="12" t="n">
        <v>46328</v>
      </c>
      <c r="B12" s="15" t="inlineStr">
        <is>
          <t>Bank loan interest</t>
        </is>
      </c>
      <c r="C12" s="15" t="inlineStr">
        <is>
          <t>Tax and debt service</t>
        </is>
      </c>
      <c r="D12" s="8" t="n">
        <v>25000</v>
      </c>
      <c r="E12">
        <f>IF(A12="","",IF(A12&lt;Inputs!$B$9,1,IF(A12&gt;Inputs!$C$21,"Later",MATCH(A12,Inputs!$B$9:$B$21,1))))</f>
        <v/>
      </c>
    </row>
    <row r="13">
      <c r="A13" s="12" t="n">
        <v>46332</v>
      </c>
      <c r="B13" s="15" t="inlineStr">
        <is>
          <t>Rent, utilities, software and other opex</t>
        </is>
      </c>
      <c r="C13" s="15" t="inlineStr">
        <is>
          <t>Other opex</t>
        </is>
      </c>
      <c r="D13" s="8" t="n">
        <v>36000</v>
      </c>
      <c r="E13">
        <f>IF(A13="","",IF(A13&lt;Inputs!$B$9,1,IF(A13&gt;Inputs!$C$21,"Later",MATCH(A13,Inputs!$B$9:$B$21,1))))</f>
        <v/>
      </c>
    </row>
    <row r="14">
      <c r="A14" s="12" t="n">
        <v>46339</v>
      </c>
      <c r="B14" s="15" t="inlineStr">
        <is>
          <t>Payroll and payroll taxes (biweekly)</t>
        </is>
      </c>
      <c r="C14" s="15" t="inlineStr">
        <is>
          <t>Payroll</t>
        </is>
      </c>
      <c r="D14" s="8" t="n">
        <v>180000</v>
      </c>
      <c r="E14">
        <f>IF(A14="","",IF(A14&lt;Inputs!$B$9,1,IF(A14&gt;Inputs!$C$21,"Later",MATCH(A14,Inputs!$B$9:$B$21,1))))</f>
        <v/>
      </c>
    </row>
    <row r="15">
      <c r="A15" s="12" t="n">
        <v>46339</v>
      </c>
      <c r="B15" s="15" t="inlineStr">
        <is>
          <t>Rent, utilities, software and other opex</t>
        </is>
      </c>
      <c r="C15" s="15" t="inlineStr">
        <is>
          <t>Other opex</t>
        </is>
      </c>
      <c r="D15" s="8" t="n">
        <v>40000</v>
      </c>
      <c r="E15">
        <f>IF(A15="","",IF(A15&lt;Inputs!$B$9,1,IF(A15&gt;Inputs!$C$21,"Later",MATCH(A15,Inputs!$B$9:$B$21,1))))</f>
        <v/>
      </c>
    </row>
    <row r="16">
      <c r="A16" s="12" t="n">
        <v>46346</v>
      </c>
      <c r="B16" s="15" t="inlineStr">
        <is>
          <t>Rent, utilities, software and other opex</t>
        </is>
      </c>
      <c r="C16" s="15" t="inlineStr">
        <is>
          <t>Other opex</t>
        </is>
      </c>
      <c r="D16" s="8" t="n">
        <v>39000</v>
      </c>
      <c r="E16">
        <f>IF(A16="","",IF(A16&lt;Inputs!$B$9,1,IF(A16&gt;Inputs!$C$21,"Later",MATCH(A16,Inputs!$B$9:$B$21,1))))</f>
        <v/>
      </c>
    </row>
    <row r="17">
      <c r="A17" s="12" t="n">
        <v>46353</v>
      </c>
      <c r="B17" s="15" t="inlineStr">
        <is>
          <t>Payroll and payroll taxes (biweekly)</t>
        </is>
      </c>
      <c r="C17" s="15" t="inlineStr">
        <is>
          <t>Payroll</t>
        </is>
      </c>
      <c r="D17" s="8" t="n">
        <v>180000</v>
      </c>
      <c r="E17">
        <f>IF(A17="","",IF(A17&lt;Inputs!$B$9,1,IF(A17&gt;Inputs!$C$21,"Later",MATCH(A17,Inputs!$B$9:$B$21,1))))</f>
        <v/>
      </c>
    </row>
    <row r="18">
      <c r="A18" s="12" t="n">
        <v>46353</v>
      </c>
      <c r="B18" s="15" t="inlineStr">
        <is>
          <t>Rent, utilities, software and other opex</t>
        </is>
      </c>
      <c r="C18" s="15" t="inlineStr">
        <is>
          <t>Other opex</t>
        </is>
      </c>
      <c r="D18" s="8" t="n">
        <v>37000</v>
      </c>
      <c r="E18">
        <f>IF(A18="","",IF(A18&lt;Inputs!$B$9,1,IF(A18&gt;Inputs!$C$21,"Later",MATCH(A18,Inputs!$B$9:$B$21,1))))</f>
        <v/>
      </c>
    </row>
    <row r="19">
      <c r="A19" s="12" t="n">
        <v>46357</v>
      </c>
      <c r="B19" s="15" t="inlineStr">
        <is>
          <t>Bank loan interest</t>
        </is>
      </c>
      <c r="C19" s="15" t="inlineStr">
        <is>
          <t>Tax and debt service</t>
        </is>
      </c>
      <c r="D19" s="8" t="n">
        <v>25000</v>
      </c>
      <c r="E19">
        <f>IF(A19="","",IF(A19&lt;Inputs!$B$9,1,IF(A19&gt;Inputs!$C$21,"Later",MATCH(A19,Inputs!$B$9:$B$21,1))))</f>
        <v/>
      </c>
    </row>
    <row r="20">
      <c r="A20" s="12" t="n">
        <v>46360</v>
      </c>
      <c r="B20" s="15" t="inlineStr">
        <is>
          <t>Rent, utilities, software and other opex</t>
        </is>
      </c>
      <c r="C20" s="15" t="inlineStr">
        <is>
          <t>Other opex</t>
        </is>
      </c>
      <c r="D20" s="8" t="n">
        <v>38000</v>
      </c>
      <c r="E20">
        <f>IF(A20="","",IF(A20&lt;Inputs!$B$9,1,IF(A20&gt;Inputs!$C$21,"Later",MATCH(A20,Inputs!$B$9:$B$21,1))))</f>
        <v/>
      </c>
    </row>
    <row r="21">
      <c r="A21" s="12" t="n">
        <v>46367</v>
      </c>
      <c r="B21" s="15" t="inlineStr">
        <is>
          <t>Payroll and payroll taxes (biweekly)</t>
        </is>
      </c>
      <c r="C21" s="15" t="inlineStr">
        <is>
          <t>Payroll</t>
        </is>
      </c>
      <c r="D21" s="8" t="n">
        <v>180000</v>
      </c>
      <c r="E21">
        <f>IF(A21="","",IF(A21&lt;Inputs!$B$9,1,IF(A21&gt;Inputs!$C$21,"Later",MATCH(A21,Inputs!$B$9:$B$21,1))))</f>
        <v/>
      </c>
    </row>
    <row r="22">
      <c r="A22" s="12" t="n">
        <v>46367</v>
      </c>
      <c r="B22" s="15" t="inlineStr">
        <is>
          <t>Rent, utilities, software and other opex</t>
        </is>
      </c>
      <c r="C22" s="15" t="inlineStr">
        <is>
          <t>Other opex</t>
        </is>
      </c>
      <c r="D22" s="8" t="n">
        <v>40000</v>
      </c>
      <c r="E22">
        <f>IF(A22="","",IF(A22&lt;Inputs!$B$9,1,IF(A22&gt;Inputs!$C$21,"Later",MATCH(A22,Inputs!$B$9:$B$21,1))))</f>
        <v/>
      </c>
    </row>
    <row r="23">
      <c r="A23" s="12" t="n">
        <v>46371</v>
      </c>
      <c r="B23" s="15" t="inlineStr">
        <is>
          <t>Federal estimated income tax installment</t>
        </is>
      </c>
      <c r="C23" s="15" t="inlineStr">
        <is>
          <t>Tax and debt service</t>
        </is>
      </c>
      <c r="D23" s="8" t="n">
        <v>90000</v>
      </c>
      <c r="E23">
        <f>IF(A23="","",IF(A23&lt;Inputs!$B$9,1,IF(A23&gt;Inputs!$C$21,"Later",MATCH(A23,Inputs!$B$9:$B$21,1))))</f>
        <v/>
      </c>
    </row>
    <row r="24">
      <c r="A24" s="12" t="n">
        <v>46374</v>
      </c>
      <c r="B24" s="15" t="inlineStr">
        <is>
          <t>Rent, utilities, software and other opex</t>
        </is>
      </c>
      <c r="C24" s="15" t="inlineStr">
        <is>
          <t>Other opex</t>
        </is>
      </c>
      <c r="D24" s="8" t="n">
        <v>37000</v>
      </c>
      <c r="E24">
        <f>IF(A24="","",IF(A24&lt;Inputs!$B$9,1,IF(A24&gt;Inputs!$C$21,"Later",MATCH(A24,Inputs!$B$9:$B$21,1))))</f>
        <v/>
      </c>
    </row>
    <row r="25">
      <c r="A25" s="12" t="n">
        <v>46380</v>
      </c>
      <c r="B25" s="15" t="inlineStr">
        <is>
          <t>Payroll and payroll taxes (biweekly)</t>
        </is>
      </c>
      <c r="C25" s="15" t="inlineStr">
        <is>
          <t>Payroll</t>
        </is>
      </c>
      <c r="D25" s="8" t="n">
        <v>180000</v>
      </c>
      <c r="E25">
        <f>IF(A25="","",IF(A25&lt;Inputs!$B$9,1,IF(A25&gt;Inputs!$C$21,"Later",MATCH(A25,Inputs!$B$9:$B$21,1))))</f>
        <v/>
      </c>
    </row>
    <row r="26">
      <c r="A26" s="12" t="n">
        <v>46381</v>
      </c>
      <c r="B26" s="15" t="inlineStr">
        <is>
          <t>Rent, utilities, software and other opex</t>
        </is>
      </c>
      <c r="C26" s="15" t="inlineStr">
        <is>
          <t>Other opex</t>
        </is>
      </c>
      <c r="D26" s="8" t="n">
        <v>41000</v>
      </c>
      <c r="E26">
        <f>IF(A26="","",IF(A26&lt;Inputs!$B$9,1,IF(A26&gt;Inputs!$C$21,"Later",MATCH(A26,Inputs!$B$9:$B$21,1))))</f>
        <v/>
      </c>
    </row>
    <row r="27">
      <c r="A27" s="12" t="n">
        <v>46388</v>
      </c>
      <c r="B27" s="15" t="inlineStr">
        <is>
          <t>Rent, utilities, software and other opex</t>
        </is>
      </c>
      <c r="C27" s="15" t="inlineStr">
        <is>
          <t>Other opex</t>
        </is>
      </c>
      <c r="D27" s="8" t="n">
        <v>39000</v>
      </c>
      <c r="E27">
        <f>IF(A27="","",IF(A27&lt;Inputs!$B$9,1,IF(A27&gt;Inputs!$C$21,"Later",MATCH(A27,Inputs!$B$9:$B$21,1))))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Covirage (covirage.ai)</dc:creator>
  <dc:title>13-week cash flow template</dc:title>
  <dcterms:created xsi:type="dcterms:W3CDTF">2026-10-01T06:42:54Z</dcterms:created>
  <dcterms:modified xsi:type="dcterms:W3CDTF">2026-10-01T06:42:54Z</dcterms:modified>
</cp:coreProperties>
</file>